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asFerro\OneDrive - Alacero - Associação Latino-Americana do Aço\Economia e Mercados\ALACERO (Marcos)\Visión Regional Mensuales\2019\1. Enero\"/>
    </mc:Choice>
  </mc:AlternateContent>
  <xr:revisionPtr revIDLastSave="447" documentId="11_598E812EB0BE59141B43E6953006361E8EF7B2ED" xr6:coauthVersionLast="40" xr6:coauthVersionMax="40" xr10:uidLastSave="{6C30DD92-1F8F-4FD9-A4D5-D154EE5393DD}"/>
  <bookViews>
    <workbookView xWindow="0" yWindow="0" windowWidth="15360" windowHeight="7155" tabRatio="923" firstSheet="15" activeTab="31" xr2:uid="{00000000-000D-0000-FFFF-FFFF00000000}"/>
  </bookViews>
  <sheets>
    <sheet name="Índice" sheetId="61" r:id="rId1"/>
    <sheet name="Macroeconomía" sheetId="77" r:id="rId2"/>
    <sheet name="Cifras gráficos" sheetId="135" state="hidden" r:id="rId3"/>
    <sheet name="Resumen Producción" sheetId="79" r:id="rId4"/>
    <sheet name="Resumen Comercio" sheetId="138" r:id="rId5"/>
    <sheet name="Producción Acero Crudo 2018" sheetId="146" r:id="rId6"/>
    <sheet name="Producción Acero Crudo 2017" sheetId="140" r:id="rId7"/>
    <sheet name="Producción Acero Crudo 2016" sheetId="129" state="hidden" r:id="rId8"/>
    <sheet name="Producción Acero Crudo 2015" sheetId="111" state="hidden" r:id="rId9"/>
    <sheet name="Producción Acero Crudo 2014" sheetId="84" state="hidden" r:id="rId10"/>
    <sheet name="Hierro Primario 2018" sheetId="147" r:id="rId11"/>
    <sheet name="Hierro Primario 2017" sheetId="141" r:id="rId12"/>
    <sheet name="Hierro Primario 2016" sheetId="128" state="hidden" r:id="rId13"/>
    <sheet name="Hierro Primario 2015" sheetId="112" state="hidden" r:id="rId14"/>
    <sheet name="Hierro Primario 2014" sheetId="87" state="hidden" r:id="rId15"/>
    <sheet name="Producción Laminados 2018" sheetId="148" r:id="rId16"/>
    <sheet name="Producción Laminados 2017" sheetId="142" r:id="rId17"/>
    <sheet name="Producción Laminados 2016" sheetId="127" state="hidden" r:id="rId18"/>
    <sheet name="Producción Laminados 2015" sheetId="113" state="hidden" r:id="rId19"/>
    <sheet name="Producción Laminados 2014" sheetId="90" state="hidden" r:id="rId20"/>
    <sheet name="Impo 2018" sheetId="149" r:id="rId21"/>
    <sheet name="Impo 2017" sheetId="143" r:id="rId22"/>
    <sheet name="Impo 2016" sheetId="124" state="hidden" r:id="rId23"/>
    <sheet name="Impo 2015" sheetId="123" state="hidden" r:id="rId24"/>
    <sheet name="Impo 2014" sheetId="122" state="hidden" r:id="rId25"/>
    <sheet name="Expo 2018" sheetId="151" r:id="rId26"/>
    <sheet name="Expo 2017" sheetId="144" r:id="rId27"/>
    <sheet name="Expo 2016" sheetId="125" state="hidden" r:id="rId28"/>
    <sheet name="Expo 2015" sheetId="120" state="hidden" r:id="rId29"/>
    <sheet name="Expo 2014" sheetId="119" state="hidden" r:id="rId30"/>
    <sheet name="Resumen Consumo" sheetId="139" r:id="rId31"/>
    <sheet name="Consumo Aparente 2018" sheetId="152" r:id="rId32"/>
    <sheet name="Consumo Aparente 2017" sheetId="145" r:id="rId33"/>
    <sheet name="Consumo Aparente 2016" sheetId="126" state="hidden" r:id="rId34"/>
    <sheet name="Consumo Aparente 2015" sheetId="117" state="hidden" r:id="rId35"/>
    <sheet name="Consumo Aparente 2014" sheetId="108" state="hidden" r:id="rId36"/>
  </sheets>
  <externalReferences>
    <externalReference r:id="rId3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9" i="146" l="1"/>
  <c r="U79" i="146"/>
  <c r="T79" i="146"/>
  <c r="U78" i="146"/>
  <c r="T78" i="146"/>
  <c r="R80" i="146"/>
  <c r="R79" i="146"/>
  <c r="R78" i="146"/>
  <c r="T7" i="146"/>
  <c r="T6" i="146"/>
  <c r="U7" i="146" s="1"/>
  <c r="V7" i="146" s="1"/>
  <c r="U6" i="146"/>
  <c r="O70" i="148" l="1"/>
  <c r="O69" i="148"/>
  <c r="O68" i="148"/>
  <c r="O65" i="148"/>
  <c r="O64" i="148"/>
  <c r="O63" i="148"/>
  <c r="P60" i="148"/>
  <c r="O55" i="148"/>
  <c r="O54" i="148"/>
  <c r="O53" i="148"/>
  <c r="O45" i="148"/>
  <c r="O44" i="148"/>
  <c r="O43" i="148"/>
  <c r="O40" i="148"/>
  <c r="O39" i="148"/>
  <c r="O38" i="148"/>
  <c r="O35" i="148"/>
  <c r="O36" i="148" s="1"/>
  <c r="O34" i="148"/>
  <c r="O33" i="148"/>
  <c r="O30" i="148"/>
  <c r="N30" i="148"/>
  <c r="O29" i="148"/>
  <c r="N29" i="148"/>
  <c r="O28" i="148"/>
  <c r="N28" i="148"/>
  <c r="O25" i="148"/>
  <c r="N25" i="148"/>
  <c r="O24" i="148"/>
  <c r="N24" i="148"/>
  <c r="O23" i="148"/>
  <c r="N23" i="148"/>
  <c r="O31" i="147"/>
  <c r="N31" i="147"/>
  <c r="O23" i="147"/>
  <c r="O56" i="146" l="1"/>
  <c r="N56" i="146"/>
  <c r="M56" i="146"/>
  <c r="L56" i="146"/>
  <c r="K56" i="146"/>
  <c r="J56" i="146"/>
  <c r="O51" i="146"/>
  <c r="O52" i="146"/>
  <c r="N52" i="146"/>
  <c r="M52" i="146"/>
  <c r="L52" i="146"/>
  <c r="K52" i="146"/>
  <c r="O44" i="146"/>
  <c r="N44" i="146"/>
  <c r="M44" i="146"/>
  <c r="L44" i="146"/>
  <c r="K44" i="146"/>
  <c r="J44" i="146"/>
  <c r="I44" i="146"/>
  <c r="H44" i="146"/>
  <c r="G44" i="146"/>
  <c r="O40" i="146" l="1"/>
  <c r="O39" i="146"/>
  <c r="O31" i="146"/>
  <c r="O32" i="146"/>
  <c r="N32" i="146"/>
  <c r="M32" i="146"/>
  <c r="L32" i="146"/>
  <c r="K32" i="146"/>
  <c r="J32" i="146"/>
  <c r="I32" i="146"/>
  <c r="H32" i="146"/>
  <c r="G32" i="146"/>
  <c r="F32" i="146"/>
  <c r="E32" i="146"/>
  <c r="O20" i="146"/>
  <c r="N20" i="146"/>
  <c r="M20" i="146"/>
  <c r="L20" i="146"/>
  <c r="K20" i="146"/>
  <c r="J20" i="146"/>
  <c r="I20" i="146"/>
  <c r="H20" i="146"/>
  <c r="G20" i="146"/>
  <c r="F20" i="146"/>
  <c r="E20" i="146"/>
  <c r="O24" i="146"/>
  <c r="N24" i="146"/>
  <c r="M24" i="146"/>
  <c r="L24" i="146"/>
  <c r="K24" i="146"/>
  <c r="J24" i="146"/>
  <c r="I24" i="146"/>
  <c r="H24" i="146"/>
  <c r="G24" i="146"/>
  <c r="F24" i="146"/>
  <c r="E24" i="146"/>
  <c r="O28" i="146"/>
  <c r="N28" i="146"/>
  <c r="M28" i="146"/>
  <c r="L28" i="146"/>
  <c r="K28" i="146"/>
  <c r="J28" i="146"/>
  <c r="I28" i="146"/>
  <c r="H28" i="146"/>
  <c r="G28" i="146"/>
  <c r="F28" i="146"/>
  <c r="E28" i="146"/>
  <c r="O27" i="146"/>
  <c r="O23" i="146"/>
  <c r="O19" i="146"/>
  <c r="N53" i="152" l="1"/>
  <c r="N54" i="152"/>
  <c r="N55" i="152"/>
  <c r="D26" i="151" l="1"/>
  <c r="D31" i="151"/>
  <c r="N11" i="151" l="1"/>
  <c r="E15" i="147" l="1"/>
  <c r="F15" i="147"/>
  <c r="G15" i="147"/>
  <c r="H15" i="147"/>
  <c r="I15" i="147"/>
  <c r="J15" i="147"/>
  <c r="K15" i="147"/>
  <c r="L15" i="147"/>
  <c r="M15" i="147"/>
  <c r="N15" i="147"/>
  <c r="O15" i="147"/>
  <c r="D15" i="147"/>
  <c r="O13" i="146" l="1"/>
  <c r="P12" i="146"/>
  <c r="N13" i="149" l="1"/>
  <c r="N13" i="152" s="1"/>
  <c r="N14" i="149"/>
  <c r="N14" i="152"/>
  <c r="N23" i="152"/>
  <c r="N25" i="152"/>
  <c r="N29" i="152"/>
  <c r="N30" i="152"/>
  <c r="N48" i="152"/>
  <c r="N49" i="152"/>
  <c r="N50" i="152"/>
  <c r="N61" i="152"/>
  <c r="N68" i="152"/>
  <c r="N69" i="152"/>
  <c r="N70" i="152"/>
  <c r="N83" i="152"/>
  <c r="N84" i="152"/>
  <c r="N85" i="152"/>
  <c r="N18" i="152"/>
  <c r="N19" i="152"/>
  <c r="N20" i="152"/>
  <c r="N8" i="152"/>
  <c r="N9" i="152"/>
  <c r="N10" i="152"/>
  <c r="N3" i="152"/>
  <c r="N4" i="152"/>
  <c r="N5" i="152"/>
  <c r="O9" i="146"/>
  <c r="N51" i="152" l="1"/>
  <c r="N6" i="152"/>
  <c r="N86" i="152"/>
  <c r="N71" i="152"/>
  <c r="N21" i="152"/>
  <c r="N11" i="152"/>
  <c r="N56" i="152"/>
  <c r="N26" i="152"/>
  <c r="O5" i="146"/>
  <c r="N51" i="146" l="1"/>
  <c r="N39" i="146"/>
  <c r="N40" i="146"/>
  <c r="N68" i="148"/>
  <c r="N78" i="152" s="1"/>
  <c r="N69" i="148"/>
  <c r="N79" i="152" s="1"/>
  <c r="N70" i="148"/>
  <c r="N80" i="152" s="1"/>
  <c r="N63" i="148"/>
  <c r="N73" i="152" s="1"/>
  <c r="N64" i="148"/>
  <c r="N74" i="152" s="1"/>
  <c r="N65" i="148"/>
  <c r="N75" i="152" s="1"/>
  <c r="N53" i="148"/>
  <c r="N63" i="152" s="1"/>
  <c r="N54" i="148"/>
  <c r="N64" i="152" s="1"/>
  <c r="N55" i="148"/>
  <c r="N65" i="152" s="1"/>
  <c r="N43" i="148"/>
  <c r="N43" i="152" s="1"/>
  <c r="N44" i="148"/>
  <c r="N44" i="152" s="1"/>
  <c r="N45" i="148"/>
  <c r="N45" i="152" s="1"/>
  <c r="N38" i="148"/>
  <c r="N38" i="152" s="1"/>
  <c r="N39" i="148"/>
  <c r="N39" i="152" s="1"/>
  <c r="N40" i="148"/>
  <c r="N40" i="152" s="1"/>
  <c r="N34" i="148"/>
  <c r="N34" i="152" s="1"/>
  <c r="N35" i="148"/>
  <c r="N35" i="152" s="1"/>
  <c r="N33" i="148"/>
  <c r="N33" i="152" s="1"/>
  <c r="N36" i="152" s="1"/>
  <c r="N28" i="152"/>
  <c r="N23" i="147"/>
  <c r="N31" i="146"/>
  <c r="N27" i="146"/>
  <c r="N23" i="146"/>
  <c r="N19" i="146"/>
  <c r="M83" i="152"/>
  <c r="M84" i="152"/>
  <c r="M85" i="152"/>
  <c r="M68" i="152"/>
  <c r="M69" i="152"/>
  <c r="M70" i="152"/>
  <c r="M61" i="152"/>
  <c r="M53" i="152"/>
  <c r="M54" i="152"/>
  <c r="M55" i="152"/>
  <c r="M48" i="152"/>
  <c r="M49" i="152"/>
  <c r="M50" i="152"/>
  <c r="M23" i="152"/>
  <c r="M25" i="152"/>
  <c r="M18" i="152"/>
  <c r="M19" i="152"/>
  <c r="M20" i="152"/>
  <c r="M8" i="152"/>
  <c r="M9" i="152"/>
  <c r="M10" i="152"/>
  <c r="M3" i="152"/>
  <c r="M4" i="152"/>
  <c r="M5" i="152"/>
  <c r="N90" i="152" l="1"/>
  <c r="N41" i="152"/>
  <c r="N31" i="152"/>
  <c r="N88" i="152"/>
  <c r="N76" i="152"/>
  <c r="N46" i="152"/>
  <c r="N81" i="152"/>
  <c r="N89" i="152"/>
  <c r="N66" i="152"/>
  <c r="M51" i="152"/>
  <c r="M86" i="152"/>
  <c r="M71" i="152"/>
  <c r="M21" i="152"/>
  <c r="M56" i="152"/>
  <c r="M26" i="152"/>
  <c r="M11" i="152"/>
  <c r="M6" i="152"/>
  <c r="D71" i="151"/>
  <c r="D76" i="151"/>
  <c r="L25" i="152"/>
  <c r="K25" i="152"/>
  <c r="J25" i="152"/>
  <c r="I25" i="152"/>
  <c r="H25" i="152"/>
  <c r="G25" i="152"/>
  <c r="F25" i="152"/>
  <c r="E25" i="152"/>
  <c r="L23" i="152"/>
  <c r="K23" i="152"/>
  <c r="J23" i="152"/>
  <c r="I23" i="152"/>
  <c r="H23" i="152"/>
  <c r="G23" i="152"/>
  <c r="F23" i="152"/>
  <c r="E23" i="152"/>
  <c r="D25" i="152"/>
  <c r="D23" i="152"/>
  <c r="N91" i="152" l="1"/>
  <c r="N13" i="146"/>
  <c r="M14" i="149" l="1"/>
  <c r="M14" i="152" s="1"/>
  <c r="D16" i="151"/>
  <c r="D21" i="151"/>
  <c r="M13" i="152"/>
  <c r="N9" i="146"/>
  <c r="N5" i="146"/>
  <c r="D5" i="146"/>
  <c r="E5" i="146"/>
  <c r="D9" i="146"/>
  <c r="E9" i="146"/>
  <c r="D13" i="146"/>
  <c r="E13" i="146"/>
  <c r="D5" i="147"/>
  <c r="D9" i="147"/>
  <c r="D13" i="147"/>
  <c r="D21" i="149"/>
  <c r="D26" i="149"/>
  <c r="L83" i="152" l="1"/>
  <c r="L84" i="152"/>
  <c r="L85" i="152"/>
  <c r="L68" i="152"/>
  <c r="L69" i="152"/>
  <c r="L70" i="152"/>
  <c r="L50" i="152"/>
  <c r="L49" i="152"/>
  <c r="L48" i="152"/>
  <c r="L86" i="152" l="1"/>
  <c r="L51" i="152"/>
  <c r="L61" i="152"/>
  <c r="L71" i="152"/>
  <c r="L20" i="152"/>
  <c r="L19" i="152"/>
  <c r="L18" i="152"/>
  <c r="L14" i="152"/>
  <c r="L13" i="152"/>
  <c r="L10" i="152"/>
  <c r="L9" i="152"/>
  <c r="L8" i="152"/>
  <c r="L14" i="149"/>
  <c r="M76" i="148"/>
  <c r="M63" i="148"/>
  <c r="M64" i="148"/>
  <c r="M74" i="152" s="1"/>
  <c r="M65" i="148"/>
  <c r="M75" i="152" s="1"/>
  <c r="M68" i="148"/>
  <c r="M69" i="148"/>
  <c r="M79" i="152" s="1"/>
  <c r="M70" i="148"/>
  <c r="M80" i="152" s="1"/>
  <c r="M53" i="148"/>
  <c r="M63" i="152" s="1"/>
  <c r="M54" i="148"/>
  <c r="M64" i="152" s="1"/>
  <c r="M55" i="148"/>
  <c r="M65" i="152" s="1"/>
  <c r="M56" i="148"/>
  <c r="M61" i="148"/>
  <c r="M23" i="148"/>
  <c r="M28" i="152" s="1"/>
  <c r="M24" i="148"/>
  <c r="M29" i="152" s="1"/>
  <c r="M25" i="148"/>
  <c r="M30" i="152" s="1"/>
  <c r="M28" i="148"/>
  <c r="M29" i="148"/>
  <c r="M30" i="148"/>
  <c r="M33" i="148"/>
  <c r="M33" i="152" s="1"/>
  <c r="M34" i="148"/>
  <c r="M35" i="148"/>
  <c r="M35" i="152" s="1"/>
  <c r="M38" i="148"/>
  <c r="M39" i="148"/>
  <c r="M39" i="152" s="1"/>
  <c r="M40" i="148"/>
  <c r="M40" i="152" s="1"/>
  <c r="M43" i="148"/>
  <c r="M43" i="152" s="1"/>
  <c r="M44" i="148"/>
  <c r="M44" i="152" s="1"/>
  <c r="M45" i="148"/>
  <c r="M45" i="152" s="1"/>
  <c r="M31" i="147"/>
  <c r="M23" i="147"/>
  <c r="M57" i="146"/>
  <c r="M51" i="146"/>
  <c r="M53" i="146" s="1"/>
  <c r="M45" i="146"/>
  <c r="M40" i="146"/>
  <c r="M39" i="146"/>
  <c r="M31" i="146"/>
  <c r="M27" i="146"/>
  <c r="M23" i="146"/>
  <c r="M19" i="146"/>
  <c r="M9" i="146"/>
  <c r="M41" i="146" l="1"/>
  <c r="M26" i="148"/>
  <c r="M46" i="152"/>
  <c r="M66" i="148"/>
  <c r="M73" i="152"/>
  <c r="M76" i="152" s="1"/>
  <c r="M71" i="148"/>
  <c r="M78" i="152"/>
  <c r="M81" i="152" s="1"/>
  <c r="M41" i="148"/>
  <c r="M38" i="152"/>
  <c r="M41" i="152" s="1"/>
  <c r="M90" i="152"/>
  <c r="L11" i="152"/>
  <c r="M31" i="148"/>
  <c r="M66" i="152"/>
  <c r="M46" i="148"/>
  <c r="M36" i="148"/>
  <c r="M34" i="152"/>
  <c r="M89" i="152" s="1"/>
  <c r="M31" i="152"/>
  <c r="L21" i="152"/>
  <c r="M88" i="152" l="1"/>
  <c r="M36" i="152"/>
  <c r="M91" i="152" s="1"/>
  <c r="L26" i="152"/>
  <c r="L53" i="152"/>
  <c r="L54" i="152"/>
  <c r="L55" i="152"/>
  <c r="L56" i="152" l="1"/>
  <c r="M13" i="146" l="1"/>
  <c r="L3" i="152" l="1"/>
  <c r="L4" i="152"/>
  <c r="L5" i="152"/>
  <c r="M5" i="146"/>
  <c r="L6" i="152" l="1"/>
  <c r="K18" i="152"/>
  <c r="K13" i="152"/>
  <c r="K70" i="152"/>
  <c r="K83" i="152"/>
  <c r="K84" i="152"/>
  <c r="K85" i="152"/>
  <c r="K86" i="152" s="1"/>
  <c r="K68" i="152"/>
  <c r="K69" i="152"/>
  <c r="K48" i="152"/>
  <c r="K49" i="152"/>
  <c r="K50" i="152"/>
  <c r="K33" i="152"/>
  <c r="K14" i="149"/>
  <c r="K14" i="152" s="1"/>
  <c r="K19" i="152"/>
  <c r="K20" i="152"/>
  <c r="L13" i="146"/>
  <c r="K8" i="152"/>
  <c r="K9" i="152"/>
  <c r="K10" i="152"/>
  <c r="L9" i="146"/>
  <c r="K3" i="152"/>
  <c r="K4" i="152"/>
  <c r="K5" i="152"/>
  <c r="L68" i="148"/>
  <c r="L78" i="152" s="1"/>
  <c r="L81" i="152" s="1"/>
  <c r="L69" i="148"/>
  <c r="L79" i="152" s="1"/>
  <c r="L70" i="148"/>
  <c r="L80" i="152" s="1"/>
  <c r="L63" i="148"/>
  <c r="L73" i="152" s="1"/>
  <c r="L64" i="148"/>
  <c r="L74" i="152" s="1"/>
  <c r="L65" i="148"/>
  <c r="L75" i="152" s="1"/>
  <c r="L53" i="148"/>
  <c r="L63" i="152" s="1"/>
  <c r="L54" i="148"/>
  <c r="L64" i="152" s="1"/>
  <c r="L55" i="148"/>
  <c r="L65" i="152" s="1"/>
  <c r="K43" i="148"/>
  <c r="K43" i="152" s="1"/>
  <c r="L43" i="148"/>
  <c r="L43" i="152" s="1"/>
  <c r="K44" i="148"/>
  <c r="K44" i="152" s="1"/>
  <c r="L44" i="148"/>
  <c r="L44" i="152" s="1"/>
  <c r="K45" i="148"/>
  <c r="K45" i="152" s="1"/>
  <c r="L45" i="148"/>
  <c r="L45" i="152" s="1"/>
  <c r="K38" i="148"/>
  <c r="K38" i="152" s="1"/>
  <c r="L38" i="148"/>
  <c r="L38" i="152" s="1"/>
  <c r="K39" i="148"/>
  <c r="K39" i="152" s="1"/>
  <c r="L39" i="148"/>
  <c r="L39" i="152" s="1"/>
  <c r="K40" i="148"/>
  <c r="K40" i="152" s="1"/>
  <c r="L40" i="148"/>
  <c r="L40" i="152" s="1"/>
  <c r="K33" i="148"/>
  <c r="L33" i="148"/>
  <c r="L33" i="152" s="1"/>
  <c r="K34" i="148"/>
  <c r="K34" i="152" s="1"/>
  <c r="L34" i="148"/>
  <c r="L34" i="152" s="1"/>
  <c r="K35" i="148"/>
  <c r="K35" i="152" s="1"/>
  <c r="L35" i="148"/>
  <c r="L35" i="152" s="1"/>
  <c r="K28" i="148"/>
  <c r="L28" i="148"/>
  <c r="K29" i="148"/>
  <c r="L29" i="148"/>
  <c r="K30" i="148"/>
  <c r="L30" i="148"/>
  <c r="K23" i="148"/>
  <c r="K28" i="152" s="1"/>
  <c r="L23" i="148"/>
  <c r="L28" i="152" s="1"/>
  <c r="K24" i="148"/>
  <c r="K29" i="152" s="1"/>
  <c r="L24" i="148"/>
  <c r="L29" i="152" s="1"/>
  <c r="K25" i="148"/>
  <c r="K30" i="152" s="1"/>
  <c r="L25" i="148"/>
  <c r="L30" i="152" s="1"/>
  <c r="L51" i="146"/>
  <c r="L53" i="146" s="1"/>
  <c r="L54" i="146" s="1"/>
  <c r="L39" i="146"/>
  <c r="L41" i="146" s="1"/>
  <c r="L40" i="146"/>
  <c r="L31" i="146"/>
  <c r="L27" i="146"/>
  <c r="L23" i="146"/>
  <c r="L19" i="146"/>
  <c r="L5" i="146"/>
  <c r="L31" i="147"/>
  <c r="L35" i="147" s="1"/>
  <c r="L32" i="147"/>
  <c r="L36" i="147" s="1"/>
  <c r="L23" i="147"/>
  <c r="K53" i="152"/>
  <c r="K54" i="152"/>
  <c r="K55" i="152"/>
  <c r="D36" i="151"/>
  <c r="D11" i="149"/>
  <c r="D14" i="149"/>
  <c r="P8" i="149"/>
  <c r="T8" i="151" s="1"/>
  <c r="P13" i="149"/>
  <c r="T13" i="151" s="1"/>
  <c r="P18" i="149"/>
  <c r="T18" i="151" s="1"/>
  <c r="P23" i="149"/>
  <c r="T23" i="151" s="1"/>
  <c r="P28" i="149"/>
  <c r="T28" i="151" s="1"/>
  <c r="P33" i="149"/>
  <c r="T33" i="151" s="1"/>
  <c r="P38" i="149"/>
  <c r="T38" i="151" s="1"/>
  <c r="P43" i="149"/>
  <c r="T43" i="151" s="1"/>
  <c r="P48" i="149"/>
  <c r="T48" i="151" s="1"/>
  <c r="P53" i="149"/>
  <c r="T53" i="151" s="1"/>
  <c r="P58" i="149"/>
  <c r="T58" i="151" s="1"/>
  <c r="P63" i="149"/>
  <c r="T63" i="151" s="1"/>
  <c r="P68" i="149"/>
  <c r="T68" i="151" s="1"/>
  <c r="P73" i="149"/>
  <c r="T73" i="151" s="1"/>
  <c r="P78" i="149"/>
  <c r="T78" i="151" s="1"/>
  <c r="P3" i="149"/>
  <c r="T3" i="151" s="1"/>
  <c r="P74" i="149"/>
  <c r="T74" i="151" s="1"/>
  <c r="P79" i="149"/>
  <c r="T79" i="151" s="1"/>
  <c r="P9" i="149"/>
  <c r="P19" i="149"/>
  <c r="T19" i="151" s="1"/>
  <c r="P4" i="149"/>
  <c r="P24" i="149"/>
  <c r="T24" i="151" s="1"/>
  <c r="P34" i="149"/>
  <c r="T34" i="151" s="1"/>
  <c r="P64" i="149"/>
  <c r="T64" i="151" s="1"/>
  <c r="P69" i="149"/>
  <c r="T69" i="151" s="1"/>
  <c r="P29" i="149"/>
  <c r="T29" i="151" s="1"/>
  <c r="P39" i="149"/>
  <c r="T39" i="151" s="1"/>
  <c r="P44" i="149"/>
  <c r="P49" i="149"/>
  <c r="T49" i="151" s="1"/>
  <c r="P59" i="149"/>
  <c r="T59" i="151" s="1"/>
  <c r="P54" i="149"/>
  <c r="T54" i="151" s="1"/>
  <c r="P75" i="149"/>
  <c r="T75" i="151" s="1"/>
  <c r="P10" i="149"/>
  <c r="P15" i="149"/>
  <c r="P20" i="149"/>
  <c r="P5" i="149"/>
  <c r="T5" i="151" s="1"/>
  <c r="P25" i="149"/>
  <c r="P35" i="149"/>
  <c r="T35" i="151" s="1"/>
  <c r="P65" i="149"/>
  <c r="P70" i="149"/>
  <c r="P80" i="149"/>
  <c r="T80" i="151" s="1"/>
  <c r="P30" i="149"/>
  <c r="T30" i="151" s="1"/>
  <c r="P40" i="149"/>
  <c r="T40" i="151" s="1"/>
  <c r="P45" i="149"/>
  <c r="T45" i="151" s="1"/>
  <c r="P50" i="149"/>
  <c r="T50" i="151" s="1"/>
  <c r="P60" i="149"/>
  <c r="P55" i="149"/>
  <c r="T55" i="151" s="1"/>
  <c r="Y5" i="61"/>
  <c r="P13" i="148"/>
  <c r="P18" i="148"/>
  <c r="P19" i="148"/>
  <c r="D23" i="148"/>
  <c r="D28" i="148"/>
  <c r="D33" i="148"/>
  <c r="D33" i="152" s="1"/>
  <c r="D38" i="148"/>
  <c r="D41" i="148" s="1"/>
  <c r="D42" i="148" s="1"/>
  <c r="D43" i="148"/>
  <c r="P48" i="148"/>
  <c r="P49" i="148"/>
  <c r="P50" i="148"/>
  <c r="D53" i="148"/>
  <c r="P58" i="148"/>
  <c r="P59" i="148"/>
  <c r="D63" i="148"/>
  <c r="D73" i="152" s="1"/>
  <c r="D68" i="148"/>
  <c r="P73" i="148"/>
  <c r="P74" i="148"/>
  <c r="P3" i="148"/>
  <c r="P4" i="148"/>
  <c r="P5" i="148"/>
  <c r="P7" i="147"/>
  <c r="D23" i="147"/>
  <c r="M35" i="147"/>
  <c r="M36" i="147"/>
  <c r="N35" i="147"/>
  <c r="O35" i="147"/>
  <c r="D19" i="146"/>
  <c r="P19" i="146" s="1"/>
  <c r="D23" i="146"/>
  <c r="D27" i="146"/>
  <c r="D31" i="146"/>
  <c r="P31" i="146" s="1"/>
  <c r="D39" i="146"/>
  <c r="F5" i="146"/>
  <c r="F9" i="146"/>
  <c r="F13" i="146"/>
  <c r="G5" i="146"/>
  <c r="G9" i="146"/>
  <c r="G13" i="146"/>
  <c r="H5" i="146"/>
  <c r="H9" i="146"/>
  <c r="H13" i="146"/>
  <c r="I5" i="146"/>
  <c r="I9" i="146"/>
  <c r="I13" i="146"/>
  <c r="J5" i="146"/>
  <c r="J9" i="146"/>
  <c r="J13" i="146"/>
  <c r="K5" i="146"/>
  <c r="K9" i="146"/>
  <c r="K13" i="146"/>
  <c r="L21" i="146"/>
  <c r="L25" i="146"/>
  <c r="L29" i="146"/>
  <c r="L33" i="146"/>
  <c r="L45" i="146"/>
  <c r="L46" i="146" s="1"/>
  <c r="L57" i="146"/>
  <c r="N53" i="146"/>
  <c r="O53" i="146"/>
  <c r="O54" i="146" s="1"/>
  <c r="Y4" i="61"/>
  <c r="P8" i="151"/>
  <c r="P13" i="151"/>
  <c r="P18" i="151"/>
  <c r="P23" i="151"/>
  <c r="P28" i="151"/>
  <c r="P33" i="151"/>
  <c r="P38" i="151"/>
  <c r="P43" i="151"/>
  <c r="P48" i="151"/>
  <c r="P53" i="151"/>
  <c r="P58" i="151"/>
  <c r="P63" i="151"/>
  <c r="P68" i="151"/>
  <c r="P73" i="151"/>
  <c r="P78" i="151"/>
  <c r="P3" i="151"/>
  <c r="P19" i="151"/>
  <c r="P24" i="151"/>
  <c r="P4" i="151"/>
  <c r="P9" i="151"/>
  <c r="P34" i="151"/>
  <c r="P39" i="151"/>
  <c r="P64" i="151"/>
  <c r="P69" i="151"/>
  <c r="P74" i="151"/>
  <c r="P29" i="151"/>
  <c r="P44" i="151"/>
  <c r="P49" i="151"/>
  <c r="P59" i="151"/>
  <c r="P79" i="151"/>
  <c r="P54" i="151"/>
  <c r="P20" i="151"/>
  <c r="P5" i="151"/>
  <c r="P25" i="151"/>
  <c r="P10" i="151"/>
  <c r="P35" i="151"/>
  <c r="P40" i="151"/>
  <c r="P65" i="151"/>
  <c r="P70" i="151"/>
  <c r="P75" i="151"/>
  <c r="P30" i="151"/>
  <c r="P45" i="151"/>
  <c r="P50" i="151"/>
  <c r="P60" i="151"/>
  <c r="P80" i="151"/>
  <c r="P55" i="151"/>
  <c r="D56" i="151"/>
  <c r="E56" i="151"/>
  <c r="F56" i="151"/>
  <c r="G56" i="151"/>
  <c r="H56" i="151"/>
  <c r="I56" i="151"/>
  <c r="J56" i="151"/>
  <c r="K56" i="151"/>
  <c r="L56" i="151"/>
  <c r="P17" i="146"/>
  <c r="P19" i="147"/>
  <c r="P20" i="147"/>
  <c r="P3" i="147"/>
  <c r="P4" i="147"/>
  <c r="P11" i="147"/>
  <c r="N79" i="127"/>
  <c r="M79" i="127"/>
  <c r="L79" i="127"/>
  <c r="K79" i="127"/>
  <c r="J79" i="127"/>
  <c r="I79" i="127"/>
  <c r="H79" i="127"/>
  <c r="F79" i="127"/>
  <c r="E79" i="127"/>
  <c r="D79" i="127"/>
  <c r="N85" i="90"/>
  <c r="M85" i="90"/>
  <c r="L85" i="90"/>
  <c r="K85" i="90"/>
  <c r="J85" i="90"/>
  <c r="I85" i="90"/>
  <c r="H85" i="90"/>
  <c r="G85" i="90"/>
  <c r="F85" i="90"/>
  <c r="E85" i="90"/>
  <c r="D85" i="90"/>
  <c r="O85" i="90"/>
  <c r="N84" i="90"/>
  <c r="M84" i="90"/>
  <c r="L84" i="90"/>
  <c r="K84" i="90"/>
  <c r="J84" i="90"/>
  <c r="J86" i="90" s="1"/>
  <c r="I84" i="90"/>
  <c r="H84" i="90"/>
  <c r="G84" i="90"/>
  <c r="F84" i="90"/>
  <c r="E84" i="90"/>
  <c r="D84" i="90"/>
  <c r="O84" i="90"/>
  <c r="O83" i="90"/>
  <c r="N83" i="90"/>
  <c r="M83" i="90"/>
  <c r="L83" i="90"/>
  <c r="K83" i="90"/>
  <c r="J83" i="90"/>
  <c r="I83" i="90"/>
  <c r="H83" i="90"/>
  <c r="G83" i="90"/>
  <c r="F83" i="90"/>
  <c r="E83" i="90"/>
  <c r="D83" i="90"/>
  <c r="N9" i="111"/>
  <c r="N61" i="111" s="1"/>
  <c r="M9" i="111"/>
  <c r="L9" i="111"/>
  <c r="L61" i="111" s="1"/>
  <c r="K9" i="111"/>
  <c r="K61" i="111" s="1"/>
  <c r="J9" i="111"/>
  <c r="J61" i="111" s="1"/>
  <c r="I9" i="111"/>
  <c r="I61" i="111" s="1"/>
  <c r="H9" i="111"/>
  <c r="H61" i="111" s="1"/>
  <c r="G9" i="111"/>
  <c r="F9" i="111"/>
  <c r="E9" i="111"/>
  <c r="D9" i="111"/>
  <c r="O9" i="111"/>
  <c r="O61" i="111" s="1"/>
  <c r="D9" i="84"/>
  <c r="E9" i="84"/>
  <c r="E61" i="84" s="1"/>
  <c r="F9" i="84"/>
  <c r="G9" i="84"/>
  <c r="H9" i="84"/>
  <c r="H61" i="84" s="1"/>
  <c r="I9" i="84"/>
  <c r="J9" i="84"/>
  <c r="J61" i="84" s="1"/>
  <c r="K9" i="84"/>
  <c r="L9" i="84"/>
  <c r="L61" i="84" s="1"/>
  <c r="M9" i="84"/>
  <c r="M61" i="84" s="1"/>
  <c r="N9" i="84"/>
  <c r="N61" i="84" s="1"/>
  <c r="O9" i="84"/>
  <c r="D49" i="140"/>
  <c r="E49" i="140"/>
  <c r="F49" i="140"/>
  <c r="G49" i="140"/>
  <c r="H49" i="140"/>
  <c r="I49" i="140"/>
  <c r="J49" i="140"/>
  <c r="K49" i="140"/>
  <c r="L49" i="140"/>
  <c r="M49" i="140"/>
  <c r="N49" i="140"/>
  <c r="O49" i="140"/>
  <c r="O50" i="140" s="1"/>
  <c r="D51" i="146"/>
  <c r="D53" i="146" s="1"/>
  <c r="D54" i="146" s="1"/>
  <c r="D52" i="146"/>
  <c r="E51" i="146"/>
  <c r="E52" i="146"/>
  <c r="F51" i="146"/>
  <c r="F53" i="146" s="1"/>
  <c r="F54" i="146" s="1"/>
  <c r="F52" i="146"/>
  <c r="G51" i="146"/>
  <c r="G52" i="146"/>
  <c r="H51" i="146"/>
  <c r="H52" i="146"/>
  <c r="I51" i="146"/>
  <c r="I52" i="146"/>
  <c r="J51" i="146"/>
  <c r="J52" i="146"/>
  <c r="K51" i="146"/>
  <c r="K53" i="146" s="1"/>
  <c r="M59" i="146"/>
  <c r="N59" i="146"/>
  <c r="O59" i="146"/>
  <c r="D53" i="140"/>
  <c r="E53" i="140"/>
  <c r="R53" i="140" s="1"/>
  <c r="F53" i="140"/>
  <c r="G53" i="140"/>
  <c r="H53" i="140"/>
  <c r="I53" i="140"/>
  <c r="J53" i="140"/>
  <c r="K53" i="140"/>
  <c r="K54" i="146" s="1"/>
  <c r="L53" i="140"/>
  <c r="M60" i="140"/>
  <c r="M59" i="140"/>
  <c r="N60" i="140"/>
  <c r="N59" i="140"/>
  <c r="O60" i="140"/>
  <c r="O59" i="140"/>
  <c r="D61" i="111"/>
  <c r="E61" i="111"/>
  <c r="G61" i="111"/>
  <c r="M61" i="111"/>
  <c r="F61" i="84"/>
  <c r="G61" i="84"/>
  <c r="I61" i="84"/>
  <c r="K61" i="84"/>
  <c r="O61" i="84"/>
  <c r="L128" i="148"/>
  <c r="M128" i="148"/>
  <c r="N128" i="148"/>
  <c r="O128" i="148"/>
  <c r="J14" i="151"/>
  <c r="J3" i="152"/>
  <c r="J18" i="152"/>
  <c r="J68" i="152"/>
  <c r="J83" i="152"/>
  <c r="J48" i="152"/>
  <c r="J53" i="152"/>
  <c r="J13" i="152"/>
  <c r="J9" i="152"/>
  <c r="J19" i="152"/>
  <c r="J4" i="152"/>
  <c r="J69" i="152"/>
  <c r="J84" i="152"/>
  <c r="J49" i="152"/>
  <c r="J54" i="152"/>
  <c r="J20" i="152"/>
  <c r="J5" i="152"/>
  <c r="J70" i="152"/>
  <c r="J80" i="152"/>
  <c r="J85" i="152"/>
  <c r="J50" i="152"/>
  <c r="J55" i="152"/>
  <c r="J26" i="152"/>
  <c r="D17" i="152"/>
  <c r="D18" i="152"/>
  <c r="D19" i="152"/>
  <c r="D20" i="152"/>
  <c r="J8" i="152"/>
  <c r="J10" i="152"/>
  <c r="J14" i="149"/>
  <c r="J14" i="152" s="1"/>
  <c r="K68" i="148"/>
  <c r="K78" i="152" s="1"/>
  <c r="K69" i="148"/>
  <c r="K70" i="148"/>
  <c r="K80" i="152" s="1"/>
  <c r="K63" i="148"/>
  <c r="K64" i="148"/>
  <c r="K74" i="152" s="1"/>
  <c r="K65" i="148"/>
  <c r="K75" i="152" s="1"/>
  <c r="K53" i="148"/>
  <c r="K63" i="152" s="1"/>
  <c r="K54" i="148"/>
  <c r="K64" i="152" s="1"/>
  <c r="K55" i="148"/>
  <c r="K65" i="152" s="1"/>
  <c r="K39" i="146"/>
  <c r="K40" i="146"/>
  <c r="K19" i="146"/>
  <c r="K21" i="146" s="1"/>
  <c r="K23" i="146"/>
  <c r="K27" i="146"/>
  <c r="K29" i="146" s="1"/>
  <c r="K31" i="146"/>
  <c r="K23" i="147"/>
  <c r="K32" i="147"/>
  <c r="K36" i="147" s="1"/>
  <c r="K31" i="147"/>
  <c r="E53" i="108"/>
  <c r="F53" i="108"/>
  <c r="G53" i="108"/>
  <c r="H53" i="108"/>
  <c r="I53" i="108"/>
  <c r="J53" i="108"/>
  <c r="K53" i="108"/>
  <c r="L53" i="108"/>
  <c r="M53" i="108"/>
  <c r="N53" i="108"/>
  <c r="O53" i="108"/>
  <c r="E54" i="108"/>
  <c r="F54" i="108"/>
  <c r="G54" i="108"/>
  <c r="H54" i="108"/>
  <c r="I54" i="108"/>
  <c r="J54" i="108"/>
  <c r="K54" i="108"/>
  <c r="L54" i="108"/>
  <c r="M54" i="108"/>
  <c r="N54" i="108"/>
  <c r="O54" i="108"/>
  <c r="O56" i="108" s="1"/>
  <c r="E55" i="108"/>
  <c r="F55" i="108"/>
  <c r="P55" i="108" s="1"/>
  <c r="G55" i="108"/>
  <c r="H55" i="108"/>
  <c r="I55" i="108"/>
  <c r="J55" i="108"/>
  <c r="K55" i="108"/>
  <c r="L55" i="108"/>
  <c r="L56" i="108" s="1"/>
  <c r="M55" i="108"/>
  <c r="N55" i="108"/>
  <c r="N56" i="108" s="1"/>
  <c r="N57" i="117" s="1"/>
  <c r="O55" i="108"/>
  <c r="D55" i="108"/>
  <c r="D54" i="108"/>
  <c r="D53" i="108"/>
  <c r="O55" i="117"/>
  <c r="N55" i="117"/>
  <c r="M55" i="117"/>
  <c r="L55" i="117"/>
  <c r="K55" i="117"/>
  <c r="J55" i="117"/>
  <c r="I55" i="117"/>
  <c r="H55" i="117"/>
  <c r="G55" i="117"/>
  <c r="F55" i="117"/>
  <c r="E55" i="117"/>
  <c r="O54" i="117"/>
  <c r="N54" i="117"/>
  <c r="M54" i="117"/>
  <c r="L54" i="117"/>
  <c r="L56" i="117" s="1"/>
  <c r="K54" i="117"/>
  <c r="J54" i="117"/>
  <c r="J56" i="117" s="1"/>
  <c r="I54" i="117"/>
  <c r="H54" i="117"/>
  <c r="G54" i="117"/>
  <c r="F54" i="117"/>
  <c r="E54" i="117"/>
  <c r="O53" i="117"/>
  <c r="N53" i="117"/>
  <c r="N56" i="117" s="1"/>
  <c r="M53" i="117"/>
  <c r="M56" i="117" s="1"/>
  <c r="L53" i="117"/>
  <c r="K53" i="117"/>
  <c r="K56" i="117" s="1"/>
  <c r="J53" i="117"/>
  <c r="I53" i="117"/>
  <c r="H53" i="117"/>
  <c r="G53" i="117"/>
  <c r="F53" i="117"/>
  <c r="F56" i="117" s="1"/>
  <c r="E53" i="117"/>
  <c r="P53" i="117" s="1"/>
  <c r="D54" i="117"/>
  <c r="D55" i="117"/>
  <c r="D56" i="117" s="1"/>
  <c r="D53" i="117"/>
  <c r="E53" i="126"/>
  <c r="F53" i="126"/>
  <c r="G53" i="126"/>
  <c r="G56" i="126" s="1"/>
  <c r="H53" i="126"/>
  <c r="H56" i="126" s="1"/>
  <c r="I53" i="126"/>
  <c r="J53" i="126"/>
  <c r="K53" i="126"/>
  <c r="L53" i="126"/>
  <c r="M53" i="126"/>
  <c r="N53" i="126"/>
  <c r="O53" i="126"/>
  <c r="O56" i="126" s="1"/>
  <c r="E54" i="126"/>
  <c r="F54" i="126"/>
  <c r="G54" i="126"/>
  <c r="H54" i="126"/>
  <c r="I54" i="126"/>
  <c r="I56" i="126" s="1"/>
  <c r="J54" i="126"/>
  <c r="K54" i="126"/>
  <c r="L54" i="126"/>
  <c r="M54" i="126"/>
  <c r="N54" i="126"/>
  <c r="O54" i="126"/>
  <c r="E55" i="126"/>
  <c r="F55" i="126"/>
  <c r="G55" i="126"/>
  <c r="H55" i="126"/>
  <c r="I55" i="126"/>
  <c r="J55" i="126"/>
  <c r="K55" i="126"/>
  <c r="L55" i="126"/>
  <c r="M55" i="126"/>
  <c r="N55" i="126"/>
  <c r="O55" i="126"/>
  <c r="D55" i="126"/>
  <c r="D54" i="126"/>
  <c r="D53" i="126"/>
  <c r="O55" i="145"/>
  <c r="N55" i="145"/>
  <c r="M55" i="145"/>
  <c r="L55" i="145"/>
  <c r="K55" i="145"/>
  <c r="J55" i="145"/>
  <c r="J56" i="145" s="1"/>
  <c r="I55" i="145"/>
  <c r="I56" i="145" s="1"/>
  <c r="H55" i="145"/>
  <c r="G55" i="145"/>
  <c r="F55" i="145"/>
  <c r="E55" i="145"/>
  <c r="O54" i="145"/>
  <c r="N54" i="145"/>
  <c r="M54" i="145"/>
  <c r="L54" i="145"/>
  <c r="L56" i="145" s="1"/>
  <c r="L57" i="152" s="1"/>
  <c r="K54" i="145"/>
  <c r="K56" i="145" s="1"/>
  <c r="J54" i="145"/>
  <c r="I54" i="145"/>
  <c r="H54" i="145"/>
  <c r="G54" i="145"/>
  <c r="F54" i="145"/>
  <c r="E54" i="145"/>
  <c r="O53" i="145"/>
  <c r="N53" i="145"/>
  <c r="N56" i="145" s="1"/>
  <c r="N57" i="152" s="1"/>
  <c r="M53" i="145"/>
  <c r="L53" i="145"/>
  <c r="K53" i="145"/>
  <c r="J53" i="145"/>
  <c r="I53" i="145"/>
  <c r="H53" i="145"/>
  <c r="G53" i="145"/>
  <c r="G56" i="145" s="1"/>
  <c r="F53" i="145"/>
  <c r="F56" i="145" s="1"/>
  <c r="E53" i="145"/>
  <c r="D55" i="145"/>
  <c r="D54" i="145"/>
  <c r="D53" i="145"/>
  <c r="D16" i="148"/>
  <c r="D21" i="143"/>
  <c r="D22" i="149" s="1"/>
  <c r="E21" i="143"/>
  <c r="F21" i="143"/>
  <c r="D26" i="143"/>
  <c r="D27" i="149" s="1"/>
  <c r="E26" i="143"/>
  <c r="F26" i="143"/>
  <c r="J63" i="148"/>
  <c r="J64" i="148"/>
  <c r="J74" i="152" s="1"/>
  <c r="J65" i="148"/>
  <c r="J75" i="152" s="1"/>
  <c r="E63" i="148"/>
  <c r="F63" i="148"/>
  <c r="G63" i="148"/>
  <c r="H63" i="148"/>
  <c r="I63" i="148"/>
  <c r="I73" i="152" s="1"/>
  <c r="I76" i="152" s="1"/>
  <c r="E64" i="148"/>
  <c r="E74" i="152" s="1"/>
  <c r="F64" i="148"/>
  <c r="G64" i="148"/>
  <c r="H64" i="148"/>
  <c r="I64" i="148"/>
  <c r="I74" i="152" s="1"/>
  <c r="E65" i="148"/>
  <c r="F65" i="148"/>
  <c r="F75" i="152" s="1"/>
  <c r="G65" i="148"/>
  <c r="G75" i="152" s="1"/>
  <c r="H65" i="148"/>
  <c r="H75" i="152" s="1"/>
  <c r="I65" i="148"/>
  <c r="I75" i="152" s="1"/>
  <c r="D64" i="148"/>
  <c r="D65" i="148"/>
  <c r="I55" i="152"/>
  <c r="H55" i="152"/>
  <c r="G55" i="152"/>
  <c r="F55" i="152"/>
  <c r="E55" i="152"/>
  <c r="D55" i="152"/>
  <c r="I54" i="152"/>
  <c r="H54" i="152"/>
  <c r="G54" i="152"/>
  <c r="F54" i="152"/>
  <c r="E54" i="152"/>
  <c r="D54" i="152"/>
  <c r="I53" i="152"/>
  <c r="H53" i="152"/>
  <c r="G53" i="152"/>
  <c r="F53" i="152"/>
  <c r="E53" i="152"/>
  <c r="D53" i="152"/>
  <c r="I56" i="149"/>
  <c r="H56" i="149"/>
  <c r="G56" i="149"/>
  <c r="F56" i="149"/>
  <c r="E56" i="149"/>
  <c r="D56" i="149"/>
  <c r="I18" i="152"/>
  <c r="I19" i="152"/>
  <c r="I20" i="152"/>
  <c r="I8" i="152"/>
  <c r="I9" i="152"/>
  <c r="I10" i="152"/>
  <c r="I3" i="152"/>
  <c r="I4" i="152"/>
  <c r="I5" i="152"/>
  <c r="G32" i="147"/>
  <c r="F32" i="147"/>
  <c r="I76" i="149"/>
  <c r="I43" i="152"/>
  <c r="I48" i="152"/>
  <c r="I49" i="152"/>
  <c r="I50" i="152"/>
  <c r="I68" i="152"/>
  <c r="I69" i="152"/>
  <c r="I70" i="152"/>
  <c r="I78" i="152"/>
  <c r="I83" i="152"/>
  <c r="I84" i="152"/>
  <c r="I85" i="152"/>
  <c r="J70" i="148"/>
  <c r="J69" i="148"/>
  <c r="J79" i="152" s="1"/>
  <c r="J68" i="148"/>
  <c r="J78" i="152" s="1"/>
  <c r="I13" i="152"/>
  <c r="I14" i="151"/>
  <c r="I14" i="149"/>
  <c r="J53" i="148"/>
  <c r="J54" i="148"/>
  <c r="J64" i="152" s="1"/>
  <c r="J55" i="148"/>
  <c r="J65" i="152" s="1"/>
  <c r="J23" i="148"/>
  <c r="J28" i="152" s="1"/>
  <c r="J24" i="148"/>
  <c r="J29" i="152" s="1"/>
  <c r="J25" i="148"/>
  <c r="J30" i="152" s="1"/>
  <c r="J26" i="148"/>
  <c r="J28" i="148"/>
  <c r="J29" i="148"/>
  <c r="J79" i="148" s="1"/>
  <c r="I22" i="135" s="1"/>
  <c r="J30" i="148"/>
  <c r="J33" i="148"/>
  <c r="J33" i="152" s="1"/>
  <c r="J34" i="148"/>
  <c r="J34" i="152" s="1"/>
  <c r="J35" i="148"/>
  <c r="J35" i="152" s="1"/>
  <c r="J38" i="148"/>
  <c r="J39" i="148"/>
  <c r="J39" i="152" s="1"/>
  <c r="J40" i="148"/>
  <c r="J43" i="148"/>
  <c r="J43" i="152" s="1"/>
  <c r="J44" i="148"/>
  <c r="J44" i="152" s="1"/>
  <c r="J45" i="148"/>
  <c r="J45" i="152" s="1"/>
  <c r="O49" i="128"/>
  <c r="N49" i="128"/>
  <c r="M49" i="128"/>
  <c r="L49" i="128"/>
  <c r="K49" i="128"/>
  <c r="J49" i="128"/>
  <c r="I49" i="128"/>
  <c r="H49" i="128"/>
  <c r="G49" i="128"/>
  <c r="F49" i="128"/>
  <c r="E49" i="128"/>
  <c r="D49" i="128"/>
  <c r="J23" i="147"/>
  <c r="J25" i="147" s="1"/>
  <c r="J24" i="147"/>
  <c r="J36" i="147" s="1"/>
  <c r="J29" i="147"/>
  <c r="J31" i="147"/>
  <c r="J33" i="147" s="1"/>
  <c r="J17" i="147"/>
  <c r="J39" i="146"/>
  <c r="J40" i="146"/>
  <c r="J41" i="146" s="1"/>
  <c r="J27" i="146"/>
  <c r="J29" i="146" s="1"/>
  <c r="J31" i="146"/>
  <c r="J33" i="146" s="1"/>
  <c r="J23" i="146"/>
  <c r="J25" i="146" s="1"/>
  <c r="J19" i="146"/>
  <c r="O56" i="145"/>
  <c r="O57" i="145" s="1"/>
  <c r="E56" i="144"/>
  <c r="E56" i="143"/>
  <c r="H80" i="152"/>
  <c r="H79" i="152"/>
  <c r="F78" i="152"/>
  <c r="H14" i="149"/>
  <c r="H84" i="149" s="1"/>
  <c r="H14" i="151"/>
  <c r="D76" i="142"/>
  <c r="I56" i="146"/>
  <c r="I23" i="147"/>
  <c r="I25" i="147" s="1"/>
  <c r="I24" i="147"/>
  <c r="I36" i="147" s="1"/>
  <c r="H3" i="152"/>
  <c r="H4" i="152"/>
  <c r="H5" i="152"/>
  <c r="H8" i="152"/>
  <c r="H9" i="152"/>
  <c r="H10" i="152"/>
  <c r="H13" i="152"/>
  <c r="H14" i="152"/>
  <c r="H17" i="152"/>
  <c r="H18" i="152"/>
  <c r="H19" i="152"/>
  <c r="H20" i="152"/>
  <c r="H35" i="152"/>
  <c r="H44" i="152"/>
  <c r="H48" i="152"/>
  <c r="H49" i="152"/>
  <c r="H50" i="152"/>
  <c r="H68" i="152"/>
  <c r="H69" i="152"/>
  <c r="H70" i="152"/>
  <c r="H74" i="152"/>
  <c r="H83" i="152"/>
  <c r="H84" i="152"/>
  <c r="I39" i="146"/>
  <c r="I41" i="146" s="1"/>
  <c r="I40" i="146"/>
  <c r="I31" i="146"/>
  <c r="I27" i="146"/>
  <c r="I29" i="146" s="1"/>
  <c r="I23" i="146"/>
  <c r="I25" i="146"/>
  <c r="I19" i="146"/>
  <c r="D46" i="149"/>
  <c r="I31" i="147"/>
  <c r="I33" i="147" s="1"/>
  <c r="I32" i="147"/>
  <c r="I66" i="148"/>
  <c r="I68" i="148"/>
  <c r="I69" i="148"/>
  <c r="I79" i="152" s="1"/>
  <c r="I70" i="148"/>
  <c r="I80" i="152" s="1"/>
  <c r="I53" i="148"/>
  <c r="I54" i="148"/>
  <c r="I64" i="152" s="1"/>
  <c r="I55" i="148"/>
  <c r="I65" i="152" s="1"/>
  <c r="I28" i="148"/>
  <c r="I31" i="148" s="1"/>
  <c r="I29" i="148"/>
  <c r="I30" i="148"/>
  <c r="I33" i="148"/>
  <c r="I34" i="148"/>
  <c r="I34" i="152" s="1"/>
  <c r="I35" i="148"/>
  <c r="I35" i="152" s="1"/>
  <c r="I38" i="148"/>
  <c r="I38" i="152" s="1"/>
  <c r="I39" i="148"/>
  <c r="I39" i="152" s="1"/>
  <c r="I40" i="148"/>
  <c r="I40" i="152" s="1"/>
  <c r="I43" i="148"/>
  <c r="I44" i="148"/>
  <c r="I44" i="152" s="1"/>
  <c r="I45" i="148"/>
  <c r="I45" i="152" s="1"/>
  <c r="I24" i="148"/>
  <c r="I29" i="152" s="1"/>
  <c r="I25" i="148"/>
  <c r="I23" i="148"/>
  <c r="I28" i="152" s="1"/>
  <c r="D16" i="147"/>
  <c r="G3" i="152"/>
  <c r="G4" i="152"/>
  <c r="G5" i="152"/>
  <c r="G8" i="152"/>
  <c r="G9" i="152"/>
  <c r="G10" i="152"/>
  <c r="G13" i="152"/>
  <c r="G17" i="152"/>
  <c r="G18" i="152"/>
  <c r="G19" i="152"/>
  <c r="G20" i="152"/>
  <c r="G28" i="152"/>
  <c r="G34" i="152"/>
  <c r="G35" i="152"/>
  <c r="G48" i="152"/>
  <c r="G49" i="152"/>
  <c r="G50" i="152"/>
  <c r="G63" i="152"/>
  <c r="G68" i="152"/>
  <c r="G69" i="152"/>
  <c r="G70" i="152"/>
  <c r="G73" i="152"/>
  <c r="G74" i="152"/>
  <c r="G83" i="152"/>
  <c r="G84" i="152"/>
  <c r="H21" i="148"/>
  <c r="H23" i="148"/>
  <c r="H28" i="152" s="1"/>
  <c r="H24" i="148"/>
  <c r="H25" i="148"/>
  <c r="H30" i="152" s="1"/>
  <c r="H75" i="148"/>
  <c r="H85" i="152" s="1"/>
  <c r="H68" i="148"/>
  <c r="H78" i="152" s="1"/>
  <c r="H69" i="148"/>
  <c r="H70" i="148"/>
  <c r="H53" i="148"/>
  <c r="H63" i="152" s="1"/>
  <c r="H54" i="148"/>
  <c r="H64" i="152" s="1"/>
  <c r="H55" i="148"/>
  <c r="H65" i="152" s="1"/>
  <c r="H43" i="148"/>
  <c r="H43" i="152" s="1"/>
  <c r="H44" i="148"/>
  <c r="H45" i="148"/>
  <c r="H38" i="148"/>
  <c r="H38" i="152" s="1"/>
  <c r="H39" i="148"/>
  <c r="H39" i="152" s="1"/>
  <c r="H40" i="148"/>
  <c r="H33" i="148"/>
  <c r="H33" i="152" s="1"/>
  <c r="H34" i="148"/>
  <c r="H34" i="152" s="1"/>
  <c r="H35" i="148"/>
  <c r="H28" i="148"/>
  <c r="H29" i="148"/>
  <c r="H30" i="148"/>
  <c r="H56" i="146"/>
  <c r="H39" i="146"/>
  <c r="H41" i="146" s="1"/>
  <c r="H40" i="146"/>
  <c r="F31" i="146"/>
  <c r="G31" i="146"/>
  <c r="G33" i="146" s="1"/>
  <c r="H31" i="146"/>
  <c r="H33" i="146" s="1"/>
  <c r="H27" i="146"/>
  <c r="H29" i="146" s="1"/>
  <c r="H23" i="146"/>
  <c r="H25" i="146" s="1"/>
  <c r="E19" i="146"/>
  <c r="F19" i="146"/>
  <c r="G19" i="146"/>
  <c r="H19" i="146"/>
  <c r="G21" i="146"/>
  <c r="H60" i="146"/>
  <c r="H31" i="147"/>
  <c r="H33" i="147" s="1"/>
  <c r="H32" i="147"/>
  <c r="H23" i="147"/>
  <c r="H35" i="147" s="1"/>
  <c r="H24" i="147"/>
  <c r="H16" i="147"/>
  <c r="H36" i="147" s="1"/>
  <c r="D18" i="146"/>
  <c r="D20" i="146"/>
  <c r="D21" i="148"/>
  <c r="D51" i="151"/>
  <c r="G71" i="151"/>
  <c r="G14" i="151"/>
  <c r="G14" i="149"/>
  <c r="G14" i="152" s="1"/>
  <c r="D50" i="152"/>
  <c r="D5" i="152"/>
  <c r="D69" i="152"/>
  <c r="D49" i="152"/>
  <c r="D4" i="152"/>
  <c r="D13" i="152"/>
  <c r="D68" i="152"/>
  <c r="D83" i="152"/>
  <c r="D8" i="152"/>
  <c r="D48" i="152"/>
  <c r="D3" i="152"/>
  <c r="D85" i="151"/>
  <c r="D84" i="151"/>
  <c r="D83" i="151"/>
  <c r="D85" i="149"/>
  <c r="D83" i="149"/>
  <c r="E6" i="148"/>
  <c r="E21" i="148"/>
  <c r="E51" i="148"/>
  <c r="D6" i="148"/>
  <c r="D51" i="148"/>
  <c r="F6" i="148"/>
  <c r="F21" i="148"/>
  <c r="F51" i="148"/>
  <c r="F21" i="146"/>
  <c r="G71" i="149"/>
  <c r="G72" i="149" s="1"/>
  <c r="F83" i="152"/>
  <c r="F84" i="152"/>
  <c r="F73" i="152"/>
  <c r="F48" i="152"/>
  <c r="F49" i="152"/>
  <c r="F50" i="152"/>
  <c r="P24" i="152"/>
  <c r="F18" i="152"/>
  <c r="F19" i="152"/>
  <c r="F20" i="152"/>
  <c r="G75" i="148"/>
  <c r="G85" i="152" s="1"/>
  <c r="G68" i="148"/>
  <c r="G78" i="152" s="1"/>
  <c r="G69" i="148"/>
  <c r="G79" i="152" s="1"/>
  <c r="G70" i="148"/>
  <c r="G80" i="152" s="1"/>
  <c r="G53" i="148"/>
  <c r="G54" i="148"/>
  <c r="G64" i="152" s="1"/>
  <c r="G55" i="148"/>
  <c r="G65" i="152" s="1"/>
  <c r="G38" i="148"/>
  <c r="G38" i="152" s="1"/>
  <c r="G39" i="148"/>
  <c r="G39" i="152" s="1"/>
  <c r="G40" i="148"/>
  <c r="G40" i="152" s="1"/>
  <c r="G43" i="148"/>
  <c r="G44" i="148"/>
  <c r="G44" i="152" s="1"/>
  <c r="G45" i="148"/>
  <c r="G45" i="152" s="1"/>
  <c r="G33" i="148"/>
  <c r="G34" i="148"/>
  <c r="G35" i="148"/>
  <c r="G28" i="148"/>
  <c r="G29" i="148"/>
  <c r="G30" i="148"/>
  <c r="G80" i="148" s="1"/>
  <c r="F28" i="135" s="1"/>
  <c r="G23" i="148"/>
  <c r="G24" i="148"/>
  <c r="G29" i="152" s="1"/>
  <c r="G25" i="148"/>
  <c r="G30" i="152" s="1"/>
  <c r="G31" i="147"/>
  <c r="G33" i="147" s="1"/>
  <c r="G23" i="147"/>
  <c r="G24" i="147"/>
  <c r="G16" i="147"/>
  <c r="G36" i="147" s="1"/>
  <c r="G56" i="146"/>
  <c r="G57" i="146"/>
  <c r="G39" i="146"/>
  <c r="G40" i="146"/>
  <c r="G27" i="146"/>
  <c r="G29" i="146" s="1"/>
  <c r="G23" i="146"/>
  <c r="G25" i="146" s="1"/>
  <c r="F13" i="152"/>
  <c r="F8" i="152"/>
  <c r="F68" i="152"/>
  <c r="F3" i="152"/>
  <c r="F34" i="152"/>
  <c r="F69" i="152"/>
  <c r="F4" i="152"/>
  <c r="F5" i="152"/>
  <c r="E68" i="152"/>
  <c r="E69" i="152"/>
  <c r="F9" i="152"/>
  <c r="F10" i="152"/>
  <c r="P69" i="144"/>
  <c r="P68" i="144"/>
  <c r="P71" i="144" s="1"/>
  <c r="P70" i="144"/>
  <c r="P68" i="143"/>
  <c r="P69" i="143"/>
  <c r="P70" i="143"/>
  <c r="F14" i="149"/>
  <c r="F14" i="151"/>
  <c r="D24" i="146"/>
  <c r="P24" i="146" s="1"/>
  <c r="D28" i="146"/>
  <c r="D32" i="146"/>
  <c r="D40" i="146"/>
  <c r="D44" i="146"/>
  <c r="D45" i="146" s="1"/>
  <c r="D46" i="146" s="1"/>
  <c r="D56" i="146"/>
  <c r="E44" i="146"/>
  <c r="E45" i="146"/>
  <c r="E23" i="146"/>
  <c r="E25" i="146"/>
  <c r="E27" i="146"/>
  <c r="E29" i="146" s="1"/>
  <c r="E31" i="146"/>
  <c r="E33" i="146"/>
  <c r="E39" i="146"/>
  <c r="E40" i="146"/>
  <c r="E60" i="146" s="1"/>
  <c r="E56" i="146"/>
  <c r="E57" i="146" s="1"/>
  <c r="F44" i="146"/>
  <c r="F45" i="146" s="1"/>
  <c r="F23" i="146"/>
  <c r="F25" i="146" s="1"/>
  <c r="F27" i="146"/>
  <c r="F29" i="146" s="1"/>
  <c r="F39" i="146"/>
  <c r="F40" i="146"/>
  <c r="F56" i="146"/>
  <c r="F57" i="146" s="1"/>
  <c r="G45" i="146"/>
  <c r="H45" i="146"/>
  <c r="H57" i="146"/>
  <c r="I45" i="146"/>
  <c r="I57" i="146"/>
  <c r="J45" i="146"/>
  <c r="J57" i="146"/>
  <c r="K25" i="146"/>
  <c r="K33" i="146"/>
  <c r="K45" i="146"/>
  <c r="K46" i="146" s="1"/>
  <c r="K57" i="146"/>
  <c r="M60" i="146"/>
  <c r="N60" i="146"/>
  <c r="O60" i="146"/>
  <c r="D61" i="142"/>
  <c r="E61" i="142"/>
  <c r="F61" i="142"/>
  <c r="E125" i="148"/>
  <c r="F125" i="148"/>
  <c r="G125" i="148"/>
  <c r="H125" i="148"/>
  <c r="I125" i="148"/>
  <c r="J125" i="148"/>
  <c r="K125" i="148"/>
  <c r="L125" i="148"/>
  <c r="M125" i="148"/>
  <c r="N125" i="148"/>
  <c r="O125" i="148"/>
  <c r="D125" i="148"/>
  <c r="E101" i="146"/>
  <c r="F101" i="146"/>
  <c r="G101" i="146"/>
  <c r="H101" i="146"/>
  <c r="I101" i="146"/>
  <c r="J101" i="146"/>
  <c r="K101" i="146"/>
  <c r="L101" i="146"/>
  <c r="M101" i="146"/>
  <c r="N101" i="146"/>
  <c r="O101" i="146"/>
  <c r="D101" i="146"/>
  <c r="D45" i="140"/>
  <c r="E45" i="140"/>
  <c r="F45" i="140"/>
  <c r="E60" i="148"/>
  <c r="E70" i="152" s="1"/>
  <c r="E85" i="151"/>
  <c r="E48" i="152"/>
  <c r="E49" i="152"/>
  <c r="E50" i="152"/>
  <c r="E8" i="152"/>
  <c r="E9" i="152"/>
  <c r="E10" i="152"/>
  <c r="E13" i="152"/>
  <c r="E17" i="152"/>
  <c r="D41" i="149"/>
  <c r="F53" i="148"/>
  <c r="F63" i="152" s="1"/>
  <c r="F54" i="148"/>
  <c r="F64" i="152" s="1"/>
  <c r="F55" i="148"/>
  <c r="F65" i="152" s="1"/>
  <c r="F60" i="148"/>
  <c r="F70" i="152" s="1"/>
  <c r="F68" i="148"/>
  <c r="F69" i="148"/>
  <c r="F79" i="152" s="1"/>
  <c r="F70" i="148"/>
  <c r="F80" i="152" s="1"/>
  <c r="F75" i="148"/>
  <c r="F85" i="152" s="1"/>
  <c r="F38" i="148"/>
  <c r="F38" i="152" s="1"/>
  <c r="F39" i="148"/>
  <c r="F40" i="148"/>
  <c r="F40" i="152" s="1"/>
  <c r="F43" i="148"/>
  <c r="F43" i="152" s="1"/>
  <c r="F44" i="148"/>
  <c r="F45" i="148"/>
  <c r="F45" i="152" s="1"/>
  <c r="F33" i="148"/>
  <c r="F33" i="152" s="1"/>
  <c r="F34" i="148"/>
  <c r="F35" i="148"/>
  <c r="F35" i="152" s="1"/>
  <c r="F28" i="148"/>
  <c r="F29" i="148"/>
  <c r="F31" i="148" s="1"/>
  <c r="F30" i="148"/>
  <c r="F23" i="148"/>
  <c r="F24" i="148"/>
  <c r="F29" i="152" s="1"/>
  <c r="F25" i="148"/>
  <c r="F31" i="147"/>
  <c r="F23" i="147"/>
  <c r="F25" i="147" s="1"/>
  <c r="F24" i="147"/>
  <c r="E68" i="145"/>
  <c r="E71" i="145" s="1"/>
  <c r="E69" i="145"/>
  <c r="E70" i="145"/>
  <c r="F35" i="147"/>
  <c r="F16" i="147"/>
  <c r="F17" i="147"/>
  <c r="E18" i="152"/>
  <c r="E19" i="152"/>
  <c r="E20" i="152"/>
  <c r="E14" i="149"/>
  <c r="E14" i="152" s="1"/>
  <c r="E14" i="151"/>
  <c r="E3" i="152"/>
  <c r="E4" i="152"/>
  <c r="E5" i="152"/>
  <c r="G45" i="140"/>
  <c r="G46" i="146" s="1"/>
  <c r="H45" i="140"/>
  <c r="I45" i="140"/>
  <c r="J45" i="140"/>
  <c r="K45" i="140"/>
  <c r="L45" i="140"/>
  <c r="M53" i="140"/>
  <c r="M54" i="146" s="1"/>
  <c r="N53" i="140"/>
  <c r="O53" i="140"/>
  <c r="M45" i="140"/>
  <c r="M46" i="146" s="1"/>
  <c r="N45" i="140"/>
  <c r="O45" i="140"/>
  <c r="E85" i="144"/>
  <c r="E84" i="144"/>
  <c r="E83" i="144"/>
  <c r="E85" i="143"/>
  <c r="O85" i="143"/>
  <c r="E84" i="143"/>
  <c r="E83" i="143"/>
  <c r="L71" i="135"/>
  <c r="M71" i="135"/>
  <c r="N71" i="135"/>
  <c r="L65" i="135"/>
  <c r="M65" i="135"/>
  <c r="N65" i="135"/>
  <c r="L59" i="135"/>
  <c r="M59" i="135"/>
  <c r="N59" i="135"/>
  <c r="L53" i="135"/>
  <c r="M53" i="135"/>
  <c r="N53" i="135"/>
  <c r="F70" i="145"/>
  <c r="G70" i="145"/>
  <c r="H70" i="145"/>
  <c r="I70" i="145"/>
  <c r="J70" i="145"/>
  <c r="K70" i="145"/>
  <c r="K71" i="145" s="1"/>
  <c r="L70" i="145"/>
  <c r="M70" i="145"/>
  <c r="N70" i="145"/>
  <c r="O70" i="145"/>
  <c r="D70" i="145"/>
  <c r="G83" i="151"/>
  <c r="G84" i="151"/>
  <c r="G85" i="151"/>
  <c r="H84" i="151"/>
  <c r="H85" i="151"/>
  <c r="I85" i="151"/>
  <c r="J84" i="151"/>
  <c r="K84" i="151"/>
  <c r="L84" i="151"/>
  <c r="L85" i="151"/>
  <c r="F83" i="144"/>
  <c r="F84" i="144"/>
  <c r="F85" i="144"/>
  <c r="G83" i="144"/>
  <c r="G84" i="144"/>
  <c r="H83" i="144"/>
  <c r="H85" i="144"/>
  <c r="I83" i="144"/>
  <c r="I85" i="144"/>
  <c r="J83" i="144"/>
  <c r="J85" i="144"/>
  <c r="K83" i="144"/>
  <c r="K85" i="144"/>
  <c r="L83" i="144"/>
  <c r="M83" i="144"/>
  <c r="M85" i="144"/>
  <c r="N83" i="144"/>
  <c r="F83" i="143"/>
  <c r="F84" i="143"/>
  <c r="F85" i="143"/>
  <c r="G83" i="143"/>
  <c r="G84" i="143"/>
  <c r="G85" i="143"/>
  <c r="H83" i="143"/>
  <c r="H85" i="143"/>
  <c r="I83" i="143"/>
  <c r="I85" i="143"/>
  <c r="J83" i="143"/>
  <c r="J85" i="143"/>
  <c r="K83" i="143"/>
  <c r="K85" i="143"/>
  <c r="L85" i="143"/>
  <c r="M85" i="143"/>
  <c r="N85" i="143"/>
  <c r="D83" i="143"/>
  <c r="D84" i="143"/>
  <c r="D85" i="143"/>
  <c r="R85" i="143"/>
  <c r="G83" i="149"/>
  <c r="G84" i="149"/>
  <c r="G85" i="149"/>
  <c r="H83" i="149"/>
  <c r="H85" i="149"/>
  <c r="I83" i="149"/>
  <c r="I84" i="149"/>
  <c r="I85" i="149"/>
  <c r="J83" i="149"/>
  <c r="J84" i="149"/>
  <c r="J85" i="149"/>
  <c r="N17" i="152"/>
  <c r="O17" i="152"/>
  <c r="N68" i="145"/>
  <c r="N69" i="145"/>
  <c r="O68" i="145"/>
  <c r="O69" i="145"/>
  <c r="O28" i="143"/>
  <c r="N28" i="143"/>
  <c r="M28" i="143"/>
  <c r="M83" i="143" s="1"/>
  <c r="L28" i="143"/>
  <c r="H29" i="143"/>
  <c r="O28" i="144"/>
  <c r="O29" i="144"/>
  <c r="E83" i="152"/>
  <c r="E84" i="152"/>
  <c r="E75" i="148"/>
  <c r="E85" i="152"/>
  <c r="E86" i="152" s="1"/>
  <c r="E68" i="148"/>
  <c r="E78" i="152" s="1"/>
  <c r="E69" i="148"/>
  <c r="E70" i="148"/>
  <c r="E80" i="152" s="1"/>
  <c r="E73" i="152"/>
  <c r="E75" i="152"/>
  <c r="E53" i="148"/>
  <c r="E63" i="152"/>
  <c r="E54" i="148"/>
  <c r="E64" i="152"/>
  <c r="E55" i="148"/>
  <c r="E65" i="152"/>
  <c r="E43" i="148"/>
  <c r="E43" i="152" s="1"/>
  <c r="E44" i="148"/>
  <c r="E44" i="152" s="1"/>
  <c r="E45" i="148"/>
  <c r="E38" i="148"/>
  <c r="E38" i="152" s="1"/>
  <c r="E39" i="148"/>
  <c r="E39" i="152" s="1"/>
  <c r="E40" i="148"/>
  <c r="E40" i="152"/>
  <c r="E33" i="148"/>
  <c r="E33" i="152"/>
  <c r="E34" i="148"/>
  <c r="E34" i="152"/>
  <c r="E35" i="148"/>
  <c r="E35" i="152" s="1"/>
  <c r="E28" i="148"/>
  <c r="E78" i="148" s="1"/>
  <c r="D16" i="135" s="1"/>
  <c r="E29" i="148"/>
  <c r="E30" i="148"/>
  <c r="E23" i="148"/>
  <c r="E28" i="152" s="1"/>
  <c r="E24" i="148"/>
  <c r="E25" i="148"/>
  <c r="E30" i="152" s="1"/>
  <c r="E31" i="147"/>
  <c r="E32" i="147"/>
  <c r="E24" i="147"/>
  <c r="E23" i="147"/>
  <c r="E16" i="147"/>
  <c r="D46" i="143"/>
  <c r="D51" i="143"/>
  <c r="R51" i="143" s="1"/>
  <c r="D81" i="143"/>
  <c r="D31" i="143"/>
  <c r="R31" i="143" s="1"/>
  <c r="P24" i="145"/>
  <c r="D84" i="149"/>
  <c r="O36" i="147"/>
  <c r="N36" i="147"/>
  <c r="O36" i="141"/>
  <c r="N36" i="141"/>
  <c r="M36" i="141"/>
  <c r="L36" i="141"/>
  <c r="K36" i="141"/>
  <c r="J36" i="141"/>
  <c r="I36" i="141"/>
  <c r="H36" i="141"/>
  <c r="G36" i="141"/>
  <c r="F36" i="141"/>
  <c r="E36" i="141"/>
  <c r="D36" i="141"/>
  <c r="D37" i="141"/>
  <c r="O35" i="141"/>
  <c r="O37" i="141" s="1"/>
  <c r="N35" i="141"/>
  <c r="M35" i="141"/>
  <c r="M37" i="141" s="1"/>
  <c r="L35" i="141"/>
  <c r="L37" i="141" s="1"/>
  <c r="K35" i="141"/>
  <c r="J35" i="141"/>
  <c r="I35" i="141"/>
  <c r="H35" i="141"/>
  <c r="G35" i="141"/>
  <c r="F35" i="141"/>
  <c r="E35" i="141"/>
  <c r="D35" i="141"/>
  <c r="H6" i="148"/>
  <c r="H36" i="148"/>
  <c r="H56" i="148"/>
  <c r="H71" i="148"/>
  <c r="G21" i="148"/>
  <c r="G6" i="148"/>
  <c r="G51" i="148"/>
  <c r="G61" i="148"/>
  <c r="G62" i="148" s="1"/>
  <c r="G11" i="148"/>
  <c r="G16" i="148"/>
  <c r="F59" i="140"/>
  <c r="D75" i="148"/>
  <c r="D69" i="148"/>
  <c r="D70" i="148"/>
  <c r="D60" i="148"/>
  <c r="D55" i="148"/>
  <c r="D54" i="148"/>
  <c r="D45" i="148"/>
  <c r="D44" i="148"/>
  <c r="D40" i="148"/>
  <c r="D39" i="148"/>
  <c r="D39" i="152" s="1"/>
  <c r="D35" i="148"/>
  <c r="D34" i="148"/>
  <c r="P34" i="148" s="1"/>
  <c r="D30" i="148"/>
  <c r="D29" i="148"/>
  <c r="D25" i="148"/>
  <c r="D24" i="148"/>
  <c r="D10" i="148"/>
  <c r="D11" i="148" s="1"/>
  <c r="D32" i="147"/>
  <c r="P32" i="147" s="1"/>
  <c r="D31" i="147"/>
  <c r="D24" i="147"/>
  <c r="D28" i="147"/>
  <c r="P28" i="147" s="1"/>
  <c r="D27" i="147"/>
  <c r="P16" i="145"/>
  <c r="G61" i="142"/>
  <c r="H61" i="142"/>
  <c r="I61" i="142"/>
  <c r="I62" i="148" s="1"/>
  <c r="J61" i="142"/>
  <c r="K61" i="142"/>
  <c r="L61" i="142"/>
  <c r="M61" i="142"/>
  <c r="M62" i="148" s="1"/>
  <c r="N61" i="142"/>
  <c r="O61" i="142"/>
  <c r="T17" i="129"/>
  <c r="R18" i="140" s="1"/>
  <c r="T49" i="129"/>
  <c r="R17" i="140"/>
  <c r="R16" i="126"/>
  <c r="S16" i="145" s="1"/>
  <c r="O83" i="145"/>
  <c r="O84" i="145"/>
  <c r="O85" i="145"/>
  <c r="O73" i="145"/>
  <c r="O74" i="145"/>
  <c r="O75" i="145"/>
  <c r="O78" i="145"/>
  <c r="O79" i="145"/>
  <c r="O80" i="145"/>
  <c r="O63" i="145"/>
  <c r="O64" i="145"/>
  <c r="O65" i="145"/>
  <c r="O58" i="145"/>
  <c r="O59" i="145"/>
  <c r="O60" i="145"/>
  <c r="O48" i="145"/>
  <c r="O49" i="145"/>
  <c r="O50" i="145"/>
  <c r="O43" i="145"/>
  <c r="O44" i="145"/>
  <c r="O45" i="145"/>
  <c r="O33" i="145"/>
  <c r="O34" i="145"/>
  <c r="O35" i="145"/>
  <c r="O25" i="145"/>
  <c r="O18" i="145"/>
  <c r="O19" i="145"/>
  <c r="O20" i="145"/>
  <c r="O3" i="145"/>
  <c r="O4" i="145"/>
  <c r="O5" i="145"/>
  <c r="O8" i="145"/>
  <c r="O9" i="145"/>
  <c r="O10" i="145"/>
  <c r="O26" i="145"/>
  <c r="D79" i="142"/>
  <c r="C23" i="135" s="1"/>
  <c r="E79" i="142"/>
  <c r="D23" i="135"/>
  <c r="F79" i="142"/>
  <c r="E23" i="135" s="1"/>
  <c r="G79" i="142"/>
  <c r="F23" i="135" s="1"/>
  <c r="D78" i="142"/>
  <c r="C17" i="135" s="1"/>
  <c r="E78" i="142"/>
  <c r="D17" i="135"/>
  <c r="F78" i="142"/>
  <c r="E17" i="135" s="1"/>
  <c r="G78" i="142"/>
  <c r="F17" i="135" s="1"/>
  <c r="D59" i="140"/>
  <c r="T59" i="140" s="1"/>
  <c r="E59" i="140"/>
  <c r="G59" i="140"/>
  <c r="M17" i="152"/>
  <c r="L17" i="152"/>
  <c r="K17" i="152"/>
  <c r="J17" i="152"/>
  <c r="I17" i="152"/>
  <c r="F17" i="152"/>
  <c r="D85" i="152"/>
  <c r="D84" i="152"/>
  <c r="D75" i="152"/>
  <c r="D74" i="152"/>
  <c r="M68" i="145"/>
  <c r="M69" i="145"/>
  <c r="M71" i="145" s="1"/>
  <c r="L68" i="145"/>
  <c r="L69" i="145"/>
  <c r="K68" i="145"/>
  <c r="K69" i="145"/>
  <c r="J68" i="145"/>
  <c r="J69" i="145"/>
  <c r="I68" i="145"/>
  <c r="I69" i="145"/>
  <c r="H68" i="145"/>
  <c r="H69" i="145"/>
  <c r="F68" i="145"/>
  <c r="F69" i="145"/>
  <c r="D30" i="152"/>
  <c r="D29" i="152"/>
  <c r="D10" i="152"/>
  <c r="D9" i="152"/>
  <c r="T17" i="140"/>
  <c r="T45" i="140"/>
  <c r="T49" i="140"/>
  <c r="T53" i="140"/>
  <c r="M49" i="146"/>
  <c r="M50" i="146" s="1"/>
  <c r="I49" i="146"/>
  <c r="I50" i="146"/>
  <c r="E49" i="146"/>
  <c r="E50" i="146" s="1"/>
  <c r="M33" i="146"/>
  <c r="M29" i="146"/>
  <c r="M25" i="146"/>
  <c r="M21" i="146"/>
  <c r="O18" i="146"/>
  <c r="N18" i="146"/>
  <c r="M18" i="146"/>
  <c r="L18" i="146"/>
  <c r="K18" i="146"/>
  <c r="J18" i="146"/>
  <c r="I18" i="146"/>
  <c r="H18" i="146"/>
  <c r="G18" i="146"/>
  <c r="F18" i="146"/>
  <c r="E18" i="146"/>
  <c r="L76" i="148"/>
  <c r="L61" i="148"/>
  <c r="L62" i="148" s="1"/>
  <c r="K46" i="148"/>
  <c r="L36" i="148"/>
  <c r="L16" i="148"/>
  <c r="L11" i="148"/>
  <c r="R26" i="143"/>
  <c r="R46" i="143"/>
  <c r="D71" i="143"/>
  <c r="M71" i="143"/>
  <c r="L71" i="143"/>
  <c r="K71" i="143"/>
  <c r="J71" i="143"/>
  <c r="J71" i="149"/>
  <c r="I71" i="143"/>
  <c r="I71" i="149"/>
  <c r="I72" i="149" s="1"/>
  <c r="H71" i="143"/>
  <c r="H71" i="149"/>
  <c r="G71" i="143"/>
  <c r="F71" i="143"/>
  <c r="F71" i="149"/>
  <c r="G66" i="149"/>
  <c r="F66" i="149"/>
  <c r="G61" i="149"/>
  <c r="F61" i="149"/>
  <c r="G41" i="149"/>
  <c r="F41" i="149"/>
  <c r="G36" i="149"/>
  <c r="F36" i="149"/>
  <c r="G31" i="149"/>
  <c r="F31" i="149"/>
  <c r="I26" i="149"/>
  <c r="G26" i="149"/>
  <c r="D71" i="144"/>
  <c r="D72" i="151" s="1"/>
  <c r="J82" i="151"/>
  <c r="G77" i="151"/>
  <c r="N71" i="144"/>
  <c r="M71" i="144"/>
  <c r="J71" i="144"/>
  <c r="I71" i="144"/>
  <c r="H71" i="144"/>
  <c r="G61" i="151"/>
  <c r="F61" i="151"/>
  <c r="K41" i="151"/>
  <c r="G41" i="151"/>
  <c r="F41" i="151"/>
  <c r="K36" i="151"/>
  <c r="J36" i="151"/>
  <c r="G36" i="151"/>
  <c r="K26" i="151"/>
  <c r="G26" i="151"/>
  <c r="F26" i="151"/>
  <c r="G16" i="151"/>
  <c r="F16" i="151"/>
  <c r="K11" i="151"/>
  <c r="O83" i="151"/>
  <c r="O86" i="151" s="1"/>
  <c r="N40" i="135" s="1"/>
  <c r="N46" i="135" s="1"/>
  <c r="G68" i="145"/>
  <c r="G69" i="145"/>
  <c r="P16" i="152"/>
  <c r="P15" i="152"/>
  <c r="M85" i="151"/>
  <c r="K85" i="151"/>
  <c r="J85" i="151"/>
  <c r="F85" i="151"/>
  <c r="N84" i="151"/>
  <c r="F84" i="151"/>
  <c r="E84" i="151"/>
  <c r="N83" i="151"/>
  <c r="M83" i="151"/>
  <c r="L83" i="151"/>
  <c r="K83" i="151"/>
  <c r="J83" i="151"/>
  <c r="I83" i="151"/>
  <c r="H83" i="151"/>
  <c r="F83" i="151"/>
  <c r="E83" i="151"/>
  <c r="O81" i="151"/>
  <c r="N81" i="151"/>
  <c r="M81" i="151"/>
  <c r="L81" i="151"/>
  <c r="K81" i="151"/>
  <c r="I81" i="151"/>
  <c r="H81" i="151"/>
  <c r="G81" i="151"/>
  <c r="D81" i="151"/>
  <c r="O76" i="151"/>
  <c r="N76" i="151"/>
  <c r="M76" i="151"/>
  <c r="L76" i="151"/>
  <c r="K76" i="151"/>
  <c r="J76" i="151"/>
  <c r="I76" i="151"/>
  <c r="H76" i="151"/>
  <c r="E76" i="151"/>
  <c r="O71" i="151"/>
  <c r="O71" i="144"/>
  <c r="N71" i="151"/>
  <c r="N72" i="151" s="1"/>
  <c r="M71" i="151"/>
  <c r="L71" i="151"/>
  <c r="L72" i="151" s="1"/>
  <c r="L71" i="144"/>
  <c r="K71" i="151"/>
  <c r="K71" i="144"/>
  <c r="J71" i="151"/>
  <c r="I71" i="151"/>
  <c r="I72" i="151" s="1"/>
  <c r="H71" i="151"/>
  <c r="H72" i="151" s="1"/>
  <c r="G71" i="144"/>
  <c r="F71" i="151"/>
  <c r="F72" i="151" s="1"/>
  <c r="F71" i="144"/>
  <c r="E71" i="151"/>
  <c r="E71" i="144"/>
  <c r="O66" i="151"/>
  <c r="N66" i="151"/>
  <c r="M66" i="151"/>
  <c r="L66" i="151"/>
  <c r="K66" i="151"/>
  <c r="I66" i="151"/>
  <c r="H66" i="151"/>
  <c r="G66" i="151"/>
  <c r="F66" i="151"/>
  <c r="E66" i="151"/>
  <c r="D66" i="151"/>
  <c r="J66" i="151"/>
  <c r="O61" i="151"/>
  <c r="N61" i="151"/>
  <c r="M61" i="151"/>
  <c r="L61" i="151"/>
  <c r="K61" i="151"/>
  <c r="J61" i="151"/>
  <c r="I61" i="151"/>
  <c r="H61" i="151"/>
  <c r="E61" i="151"/>
  <c r="D61" i="151"/>
  <c r="O56" i="151"/>
  <c r="N56" i="151"/>
  <c r="M56" i="151"/>
  <c r="M51" i="151"/>
  <c r="L51" i="151"/>
  <c r="K51" i="151"/>
  <c r="J51" i="151"/>
  <c r="I51" i="151"/>
  <c r="H51" i="151"/>
  <c r="G51" i="151"/>
  <c r="F51" i="151"/>
  <c r="E51" i="151"/>
  <c r="O85" i="151"/>
  <c r="O46" i="151"/>
  <c r="N46" i="151"/>
  <c r="M46" i="151"/>
  <c r="L46" i="151"/>
  <c r="K46" i="151"/>
  <c r="J46" i="151"/>
  <c r="I46" i="151"/>
  <c r="H46" i="151"/>
  <c r="G46" i="151"/>
  <c r="F46" i="151"/>
  <c r="E46" i="151"/>
  <c r="D46" i="151"/>
  <c r="O41" i="151"/>
  <c r="N41" i="151"/>
  <c r="M41" i="151"/>
  <c r="L41" i="151"/>
  <c r="J41" i="151"/>
  <c r="I41" i="151"/>
  <c r="H41" i="151"/>
  <c r="E41" i="151"/>
  <c r="D41" i="151"/>
  <c r="O36" i="151"/>
  <c r="N36" i="151"/>
  <c r="M36" i="151"/>
  <c r="L36" i="151"/>
  <c r="I36" i="151"/>
  <c r="H36" i="151"/>
  <c r="F36" i="151"/>
  <c r="E36" i="151"/>
  <c r="N31" i="151"/>
  <c r="M31" i="151"/>
  <c r="L31" i="151"/>
  <c r="K31" i="151"/>
  <c r="J31" i="151"/>
  <c r="I31" i="151"/>
  <c r="H31" i="151"/>
  <c r="G31" i="151"/>
  <c r="F31" i="151"/>
  <c r="E31" i="151"/>
  <c r="O31" i="151"/>
  <c r="N26" i="151"/>
  <c r="M26" i="151"/>
  <c r="L26" i="151"/>
  <c r="J26" i="151"/>
  <c r="I26" i="151"/>
  <c r="H26" i="151"/>
  <c r="E26" i="151"/>
  <c r="O21" i="151"/>
  <c r="N21" i="151"/>
  <c r="M21" i="151"/>
  <c r="L21" i="151"/>
  <c r="K21" i="151"/>
  <c r="J21" i="151"/>
  <c r="I21" i="151"/>
  <c r="H21" i="151"/>
  <c r="G21" i="151"/>
  <c r="F21" i="151"/>
  <c r="E21" i="151"/>
  <c r="O16" i="151"/>
  <c r="N16" i="151"/>
  <c r="K16" i="151"/>
  <c r="J16" i="151"/>
  <c r="P15" i="151"/>
  <c r="M16" i="151"/>
  <c r="O11" i="151"/>
  <c r="M11" i="151"/>
  <c r="L11" i="151"/>
  <c r="J11" i="151"/>
  <c r="I11" i="151"/>
  <c r="H11" i="151"/>
  <c r="G11" i="151"/>
  <c r="F11" i="151"/>
  <c r="E11" i="151"/>
  <c r="O6" i="151"/>
  <c r="N6" i="151"/>
  <c r="M6" i="151"/>
  <c r="M7" i="151" s="1"/>
  <c r="L6" i="151"/>
  <c r="K6" i="151"/>
  <c r="J6" i="151"/>
  <c r="I6" i="151"/>
  <c r="H6" i="151"/>
  <c r="G6" i="151"/>
  <c r="F6" i="151"/>
  <c r="E6" i="151"/>
  <c r="D6" i="151"/>
  <c r="N85" i="149"/>
  <c r="M85" i="149"/>
  <c r="L85" i="149"/>
  <c r="K85" i="149"/>
  <c r="F85" i="149"/>
  <c r="E85" i="149"/>
  <c r="L84" i="149"/>
  <c r="K84" i="149"/>
  <c r="N83" i="149"/>
  <c r="M83" i="149"/>
  <c r="L83" i="149"/>
  <c r="K83" i="149"/>
  <c r="E83" i="149"/>
  <c r="O81" i="149"/>
  <c r="N81" i="149"/>
  <c r="M81" i="149"/>
  <c r="L81" i="149"/>
  <c r="K81" i="149"/>
  <c r="J81" i="149"/>
  <c r="I81" i="149"/>
  <c r="H81" i="149"/>
  <c r="G81" i="149"/>
  <c r="F81" i="149"/>
  <c r="E81" i="149"/>
  <c r="D81" i="149"/>
  <c r="D82" i="149" s="1"/>
  <c r="O76" i="149"/>
  <c r="N76" i="149"/>
  <c r="M76" i="149"/>
  <c r="L76" i="149"/>
  <c r="K76" i="149"/>
  <c r="J76" i="149"/>
  <c r="H76" i="149"/>
  <c r="G76" i="149"/>
  <c r="F76" i="149"/>
  <c r="E76" i="149"/>
  <c r="D76" i="149"/>
  <c r="O71" i="149"/>
  <c r="O72" i="149" s="1"/>
  <c r="N71" i="149"/>
  <c r="M71" i="149"/>
  <c r="M72" i="149" s="1"/>
  <c r="L71" i="149"/>
  <c r="L72" i="149" s="1"/>
  <c r="K71" i="149"/>
  <c r="K72" i="149" s="1"/>
  <c r="E71" i="149"/>
  <c r="E71" i="143"/>
  <c r="D71" i="149"/>
  <c r="D72" i="149" s="1"/>
  <c r="T70" i="151"/>
  <c r="O66" i="149"/>
  <c r="N66" i="149"/>
  <c r="M66" i="149"/>
  <c r="L66" i="149"/>
  <c r="K66" i="149"/>
  <c r="J66" i="149"/>
  <c r="I66" i="149"/>
  <c r="H66" i="149"/>
  <c r="E66" i="149"/>
  <c r="D66" i="149"/>
  <c r="T65" i="151"/>
  <c r="O61" i="149"/>
  <c r="N61" i="149"/>
  <c r="N62" i="149" s="1"/>
  <c r="M61" i="149"/>
  <c r="L61" i="149"/>
  <c r="K61" i="149"/>
  <c r="J61" i="149"/>
  <c r="I61" i="149"/>
  <c r="H61" i="149"/>
  <c r="E61" i="149"/>
  <c r="D61" i="149"/>
  <c r="T60" i="151"/>
  <c r="O56" i="149"/>
  <c r="N56" i="149"/>
  <c r="M56" i="149"/>
  <c r="L56" i="149"/>
  <c r="K56" i="149"/>
  <c r="J56" i="149"/>
  <c r="N51" i="149"/>
  <c r="N52" i="149" s="1"/>
  <c r="M51" i="149"/>
  <c r="L51" i="149"/>
  <c r="K51" i="149"/>
  <c r="J51" i="149"/>
  <c r="I51" i="149"/>
  <c r="H51" i="149"/>
  <c r="G51" i="149"/>
  <c r="F51" i="149"/>
  <c r="E51" i="149"/>
  <c r="D51" i="149"/>
  <c r="O51" i="149"/>
  <c r="O46" i="149"/>
  <c r="N46" i="149"/>
  <c r="M46" i="149"/>
  <c r="L46" i="149"/>
  <c r="K46" i="149"/>
  <c r="J46" i="149"/>
  <c r="I46" i="149"/>
  <c r="H46" i="149"/>
  <c r="G46" i="149"/>
  <c r="F46" i="149"/>
  <c r="E46" i="149"/>
  <c r="T44" i="151"/>
  <c r="O41" i="149"/>
  <c r="N41" i="149"/>
  <c r="M41" i="149"/>
  <c r="L41" i="149"/>
  <c r="K41" i="149"/>
  <c r="J41" i="149"/>
  <c r="I41" i="149"/>
  <c r="H41" i="149"/>
  <c r="E41" i="149"/>
  <c r="O36" i="149"/>
  <c r="N36" i="149"/>
  <c r="M36" i="149"/>
  <c r="L36" i="149"/>
  <c r="K36" i="149"/>
  <c r="J36" i="149"/>
  <c r="I36" i="149"/>
  <c r="H36" i="149"/>
  <c r="E36" i="149"/>
  <c r="D36" i="149"/>
  <c r="O31" i="149"/>
  <c r="N31" i="149"/>
  <c r="M31" i="149"/>
  <c r="L31" i="149"/>
  <c r="K31" i="149"/>
  <c r="J31" i="149"/>
  <c r="I31" i="149"/>
  <c r="H31" i="149"/>
  <c r="E31" i="149"/>
  <c r="D31" i="149"/>
  <c r="D32" i="149" s="1"/>
  <c r="N26" i="149"/>
  <c r="M26" i="149"/>
  <c r="L26" i="149"/>
  <c r="K26" i="149"/>
  <c r="J26" i="149"/>
  <c r="H26" i="149"/>
  <c r="E26" i="149"/>
  <c r="O26" i="149"/>
  <c r="N21" i="149"/>
  <c r="M21" i="149"/>
  <c r="L21" i="149"/>
  <c r="K21" i="149"/>
  <c r="J21" i="149"/>
  <c r="I21" i="149"/>
  <c r="H21" i="149"/>
  <c r="G21" i="149"/>
  <c r="F21" i="149"/>
  <c r="F22" i="149" s="1"/>
  <c r="E21" i="149"/>
  <c r="E22" i="149" s="1"/>
  <c r="T20" i="151"/>
  <c r="O21" i="149"/>
  <c r="O16" i="149"/>
  <c r="L16" i="149"/>
  <c r="K16" i="149"/>
  <c r="D16" i="149"/>
  <c r="T15" i="151"/>
  <c r="N11" i="149"/>
  <c r="M11" i="149"/>
  <c r="L11" i="149"/>
  <c r="K11" i="149"/>
  <c r="J11" i="149"/>
  <c r="I11" i="149"/>
  <c r="H11" i="149"/>
  <c r="G11" i="149"/>
  <c r="F11" i="149"/>
  <c r="E11" i="149"/>
  <c r="T10" i="151"/>
  <c r="O84" i="149"/>
  <c r="O6" i="149"/>
  <c r="N6" i="149"/>
  <c r="M6" i="149"/>
  <c r="L6" i="149"/>
  <c r="K6" i="149"/>
  <c r="J6" i="149"/>
  <c r="I6" i="149"/>
  <c r="H6" i="149"/>
  <c r="G6" i="149"/>
  <c r="F6" i="149"/>
  <c r="E6" i="149"/>
  <c r="D6" i="149"/>
  <c r="O80" i="148"/>
  <c r="N28" i="135" s="1"/>
  <c r="N80" i="148"/>
  <c r="M28" i="135" s="1"/>
  <c r="M80" i="148"/>
  <c r="L28" i="135" s="1"/>
  <c r="L80" i="148"/>
  <c r="K28" i="135" s="1"/>
  <c r="K80" i="148"/>
  <c r="E80" i="148"/>
  <c r="D28" i="135" s="1"/>
  <c r="O79" i="148"/>
  <c r="N79" i="148"/>
  <c r="M22" i="135" s="1"/>
  <c r="M79" i="148"/>
  <c r="L79" i="148"/>
  <c r="I79" i="148"/>
  <c r="H22" i="135" s="1"/>
  <c r="O78" i="148"/>
  <c r="N16" i="135" s="1"/>
  <c r="N78" i="148"/>
  <c r="M16" i="135" s="1"/>
  <c r="M78" i="148"/>
  <c r="L16" i="135" s="1"/>
  <c r="L78" i="148"/>
  <c r="K78" i="148"/>
  <c r="F78" i="148"/>
  <c r="E16" i="135" s="1"/>
  <c r="O76" i="148"/>
  <c r="N76" i="148"/>
  <c r="K76" i="148"/>
  <c r="J76" i="148"/>
  <c r="I76" i="148"/>
  <c r="E76" i="148"/>
  <c r="O71" i="148"/>
  <c r="N71" i="148"/>
  <c r="L71" i="148"/>
  <c r="O66" i="148"/>
  <c r="N66" i="148"/>
  <c r="L66" i="148"/>
  <c r="E66" i="148"/>
  <c r="O61" i="148"/>
  <c r="O62" i="148" s="1"/>
  <c r="N61" i="148"/>
  <c r="N62" i="148" s="1"/>
  <c r="K61" i="148"/>
  <c r="K62" i="148"/>
  <c r="J61" i="148"/>
  <c r="J62" i="148" s="1"/>
  <c r="I61" i="148"/>
  <c r="H61" i="148"/>
  <c r="H62" i="148" s="1"/>
  <c r="E61" i="148"/>
  <c r="E62" i="148" s="1"/>
  <c r="O56" i="148"/>
  <c r="N56" i="148"/>
  <c r="L56" i="148"/>
  <c r="K56" i="148"/>
  <c r="E56" i="148"/>
  <c r="O51" i="148"/>
  <c r="N51" i="148"/>
  <c r="M51" i="148"/>
  <c r="L51" i="148"/>
  <c r="K51" i="148"/>
  <c r="J51" i="148"/>
  <c r="I51" i="148"/>
  <c r="O46" i="148"/>
  <c r="N46" i="148"/>
  <c r="L46" i="148"/>
  <c r="O41" i="148"/>
  <c r="N41" i="148"/>
  <c r="L41" i="148"/>
  <c r="K41" i="148"/>
  <c r="E41" i="148"/>
  <c r="N36" i="148"/>
  <c r="K36" i="148"/>
  <c r="E36" i="148"/>
  <c r="O31" i="148"/>
  <c r="N31" i="148"/>
  <c r="L31" i="148"/>
  <c r="K31" i="148"/>
  <c r="E31" i="148"/>
  <c r="O26" i="148"/>
  <c r="N26" i="148"/>
  <c r="L26" i="148"/>
  <c r="K26" i="148"/>
  <c r="O21" i="148"/>
  <c r="O22" i="148" s="1"/>
  <c r="N21" i="148"/>
  <c r="M21" i="148"/>
  <c r="L21" i="148"/>
  <c r="K21" i="148"/>
  <c r="J21" i="148"/>
  <c r="I21" i="148"/>
  <c r="P20" i="148"/>
  <c r="O16" i="148"/>
  <c r="N16" i="148"/>
  <c r="M16" i="148"/>
  <c r="K16" i="148"/>
  <c r="J16" i="148"/>
  <c r="I16" i="148"/>
  <c r="H16" i="148"/>
  <c r="F16" i="148"/>
  <c r="E16" i="148"/>
  <c r="P15" i="148"/>
  <c r="P14" i="148"/>
  <c r="O11" i="148"/>
  <c r="N11" i="148"/>
  <c r="M11" i="148"/>
  <c r="K11" i="148"/>
  <c r="J11" i="148"/>
  <c r="I11" i="148"/>
  <c r="H11" i="148"/>
  <c r="F11" i="148"/>
  <c r="E11" i="148"/>
  <c r="P10" i="148"/>
  <c r="O6" i="148"/>
  <c r="N6" i="148"/>
  <c r="M6" i="148"/>
  <c r="L6" i="148"/>
  <c r="K6" i="148"/>
  <c r="J6" i="148"/>
  <c r="I6" i="148"/>
  <c r="O33" i="147"/>
  <c r="N33" i="147"/>
  <c r="M33" i="147"/>
  <c r="L33" i="147"/>
  <c r="O29" i="147"/>
  <c r="N29" i="147"/>
  <c r="M29" i="147"/>
  <c r="L29" i="147"/>
  <c r="K29" i="147"/>
  <c r="K30" i="147" s="1"/>
  <c r="I29" i="147"/>
  <c r="H29" i="147"/>
  <c r="G29" i="147"/>
  <c r="F29" i="147"/>
  <c r="E29" i="147"/>
  <c r="O25" i="147"/>
  <c r="N25" i="147"/>
  <c r="M25" i="147"/>
  <c r="L25" i="147"/>
  <c r="K25" i="147"/>
  <c r="H25" i="147"/>
  <c r="E25" i="147"/>
  <c r="P24" i="147"/>
  <c r="O22" i="147"/>
  <c r="O17" i="147"/>
  <c r="N17" i="147"/>
  <c r="M17" i="147"/>
  <c r="L17" i="147"/>
  <c r="L18" i="147" s="1"/>
  <c r="K17" i="147"/>
  <c r="I17" i="147"/>
  <c r="H17" i="147"/>
  <c r="O13" i="147"/>
  <c r="N13" i="147"/>
  <c r="M13" i="147"/>
  <c r="L13" i="147"/>
  <c r="K13" i="147"/>
  <c r="J13" i="147"/>
  <c r="I13" i="147"/>
  <c r="H13" i="147"/>
  <c r="G13" i="147"/>
  <c r="F13" i="147"/>
  <c r="E13" i="147"/>
  <c r="P12" i="147"/>
  <c r="O9" i="147"/>
  <c r="N9" i="147"/>
  <c r="M9" i="147"/>
  <c r="L9" i="147"/>
  <c r="K9" i="147"/>
  <c r="J9" i="147"/>
  <c r="I9" i="147"/>
  <c r="H9" i="147"/>
  <c r="G9" i="147"/>
  <c r="F9" i="147"/>
  <c r="E9" i="147"/>
  <c r="P8" i="147"/>
  <c r="O5" i="147"/>
  <c r="N5" i="147"/>
  <c r="M5" i="147"/>
  <c r="L5" i="147"/>
  <c r="K5" i="147"/>
  <c r="J5" i="147"/>
  <c r="I5" i="147"/>
  <c r="H5" i="147"/>
  <c r="G5" i="147"/>
  <c r="F5" i="147"/>
  <c r="E5" i="147"/>
  <c r="L60" i="146"/>
  <c r="K60" i="146"/>
  <c r="G60" i="146"/>
  <c r="D60" i="146"/>
  <c r="L59" i="146"/>
  <c r="J59" i="146"/>
  <c r="G59" i="146"/>
  <c r="O57" i="146"/>
  <c r="N57" i="146"/>
  <c r="N54" i="146"/>
  <c r="P51" i="146"/>
  <c r="O49" i="146"/>
  <c r="O50" i="146"/>
  <c r="N49" i="146"/>
  <c r="N50" i="146"/>
  <c r="L49" i="146"/>
  <c r="L50" i="146" s="1"/>
  <c r="K49" i="146"/>
  <c r="K50" i="146"/>
  <c r="J49" i="146"/>
  <c r="J50" i="146" s="1"/>
  <c r="H49" i="146"/>
  <c r="H50" i="146" s="1"/>
  <c r="G49" i="146"/>
  <c r="G50" i="146" s="1"/>
  <c r="F49" i="146"/>
  <c r="F50" i="146"/>
  <c r="D49" i="146"/>
  <c r="D50" i="146" s="1"/>
  <c r="P48" i="146"/>
  <c r="P47" i="146"/>
  <c r="O45" i="146"/>
  <c r="O46" i="146" s="1"/>
  <c r="N45" i="146"/>
  <c r="J46" i="146"/>
  <c r="P44" i="146"/>
  <c r="P43" i="146"/>
  <c r="O41" i="146"/>
  <c r="N41" i="146"/>
  <c r="P40" i="146"/>
  <c r="P36" i="146"/>
  <c r="P35" i="146"/>
  <c r="O33" i="146"/>
  <c r="N33" i="146"/>
  <c r="P32" i="146"/>
  <c r="O29" i="146"/>
  <c r="O30" i="146" s="1"/>
  <c r="N29" i="146"/>
  <c r="P28" i="146"/>
  <c r="O25" i="146"/>
  <c r="N25" i="146"/>
  <c r="O21" i="146"/>
  <c r="N21" i="146"/>
  <c r="P16" i="146"/>
  <c r="P15" i="146"/>
  <c r="P11" i="146"/>
  <c r="P8" i="146"/>
  <c r="P7" i="146"/>
  <c r="P4" i="146"/>
  <c r="P3" i="146"/>
  <c r="P75" i="152"/>
  <c r="D68" i="145"/>
  <c r="D69" i="145"/>
  <c r="H16" i="151"/>
  <c r="L16" i="151"/>
  <c r="N51" i="151"/>
  <c r="M84" i="151"/>
  <c r="N85" i="151"/>
  <c r="D11" i="151"/>
  <c r="O84" i="151"/>
  <c r="O26" i="151"/>
  <c r="O51" i="151"/>
  <c r="I16" i="149"/>
  <c r="M84" i="149"/>
  <c r="M16" i="149"/>
  <c r="O11" i="149"/>
  <c r="O85" i="149"/>
  <c r="J16" i="149"/>
  <c r="N84" i="149"/>
  <c r="N16" i="149"/>
  <c r="O83" i="149"/>
  <c r="N50" i="144"/>
  <c r="N85" i="144" s="1"/>
  <c r="J51" i="144"/>
  <c r="M36" i="144"/>
  <c r="M37" i="151" s="1"/>
  <c r="N36" i="144"/>
  <c r="O36" i="144"/>
  <c r="M6" i="144"/>
  <c r="M6" i="143"/>
  <c r="D6" i="144"/>
  <c r="W6" i="144" s="1"/>
  <c r="D8" i="144"/>
  <c r="D83" i="144" s="1"/>
  <c r="W83" i="144" s="1"/>
  <c r="D9" i="144"/>
  <c r="D84" i="144" s="1"/>
  <c r="D10" i="144"/>
  <c r="D85" i="144" s="1"/>
  <c r="W85" i="144" s="1"/>
  <c r="O40" i="144"/>
  <c r="O40" i="145" s="1"/>
  <c r="O39" i="144"/>
  <c r="O39" i="145" s="1"/>
  <c r="O38" i="144"/>
  <c r="O38" i="145" s="1"/>
  <c r="O30" i="144"/>
  <c r="O85" i="144" s="1"/>
  <c r="O26" i="144"/>
  <c r="P54" i="145"/>
  <c r="O17" i="145"/>
  <c r="O14" i="145"/>
  <c r="O13" i="145"/>
  <c r="O14" i="144"/>
  <c r="O84" i="144" s="1"/>
  <c r="O14" i="143"/>
  <c r="M26" i="142"/>
  <c r="M27" i="148" s="1"/>
  <c r="N26" i="142"/>
  <c r="O26" i="142"/>
  <c r="O27" i="148" s="1"/>
  <c r="E33" i="145"/>
  <c r="F33" i="145"/>
  <c r="G33" i="145"/>
  <c r="H33" i="145"/>
  <c r="I33" i="145"/>
  <c r="J33" i="145"/>
  <c r="K33" i="145"/>
  <c r="L33" i="145"/>
  <c r="M33" i="145"/>
  <c r="N33" i="145"/>
  <c r="D33" i="145"/>
  <c r="N13" i="145"/>
  <c r="N14" i="143"/>
  <c r="N14" i="145" s="1"/>
  <c r="N14" i="144"/>
  <c r="N84" i="144" s="1"/>
  <c r="O13" i="140"/>
  <c r="O14" i="146" s="1"/>
  <c r="N3" i="145"/>
  <c r="N4" i="145"/>
  <c r="N5" i="145"/>
  <c r="N8" i="145"/>
  <c r="N9" i="145"/>
  <c r="N11" i="145"/>
  <c r="N12" i="152" s="1"/>
  <c r="N10" i="145"/>
  <c r="N17" i="145"/>
  <c r="N18" i="145"/>
  <c r="N19" i="145"/>
  <c r="N20" i="145"/>
  <c r="N25" i="145"/>
  <c r="N26" i="145"/>
  <c r="N27" i="152" s="1"/>
  <c r="N28" i="145"/>
  <c r="N30" i="145"/>
  <c r="N34" i="145"/>
  <c r="N35" i="145"/>
  <c r="N38" i="145"/>
  <c r="N39" i="145"/>
  <c r="N40" i="145"/>
  <c r="N43" i="145"/>
  <c r="N44" i="145"/>
  <c r="N45" i="145"/>
  <c r="N48" i="145"/>
  <c r="N49" i="145"/>
  <c r="N50" i="145"/>
  <c r="N58" i="145"/>
  <c r="N59" i="145"/>
  <c r="N60" i="145"/>
  <c r="N63" i="145"/>
  <c r="N64" i="145"/>
  <c r="N65" i="145"/>
  <c r="N73" i="145"/>
  <c r="N74" i="145"/>
  <c r="N75" i="145"/>
  <c r="N78" i="145"/>
  <c r="N79" i="145"/>
  <c r="N80" i="145"/>
  <c r="N83" i="145"/>
  <c r="N84" i="145"/>
  <c r="N85" i="145"/>
  <c r="N71" i="143"/>
  <c r="K6" i="144"/>
  <c r="L6" i="144"/>
  <c r="I66" i="142"/>
  <c r="R8" i="127"/>
  <c r="R9" i="127"/>
  <c r="R10" i="127"/>
  <c r="R13" i="127"/>
  <c r="R14" i="127"/>
  <c r="R15" i="127"/>
  <c r="R18" i="127"/>
  <c r="R19" i="127"/>
  <c r="R20" i="127"/>
  <c r="R24" i="127"/>
  <c r="R25" i="127"/>
  <c r="R30" i="127"/>
  <c r="R33" i="127"/>
  <c r="R34" i="127"/>
  <c r="R35" i="127"/>
  <c r="R40" i="127"/>
  <c r="R44" i="127"/>
  <c r="R45" i="127"/>
  <c r="R48" i="127"/>
  <c r="R49" i="127"/>
  <c r="R50" i="127"/>
  <c r="R54" i="127"/>
  <c r="R55" i="127"/>
  <c r="R59" i="127"/>
  <c r="R60" i="127"/>
  <c r="R63" i="127"/>
  <c r="R64" i="127"/>
  <c r="R65" i="127"/>
  <c r="R69" i="127"/>
  <c r="R70" i="127"/>
  <c r="R73" i="127"/>
  <c r="R74" i="127"/>
  <c r="R75" i="127"/>
  <c r="R5" i="127"/>
  <c r="R4" i="127"/>
  <c r="R3" i="127"/>
  <c r="S33" i="128"/>
  <c r="S17" i="129"/>
  <c r="S49" i="129"/>
  <c r="O37" i="140"/>
  <c r="O38" i="146" s="1"/>
  <c r="M56" i="144"/>
  <c r="L75" i="144"/>
  <c r="L85" i="144" s="1"/>
  <c r="D11" i="142"/>
  <c r="D16" i="142"/>
  <c r="D9" i="140"/>
  <c r="D13" i="140"/>
  <c r="M85" i="145"/>
  <c r="M84" i="145"/>
  <c r="M83" i="145"/>
  <c r="M80" i="145"/>
  <c r="M79" i="145"/>
  <c r="M78" i="145"/>
  <c r="M75" i="145"/>
  <c r="M74" i="145"/>
  <c r="M73" i="145"/>
  <c r="M76" i="145" s="1"/>
  <c r="M65" i="145"/>
  <c r="M64" i="145"/>
  <c r="M63" i="145"/>
  <c r="M60" i="145"/>
  <c r="M59" i="145"/>
  <c r="M58" i="145"/>
  <c r="M50" i="145"/>
  <c r="M49" i="145"/>
  <c r="M48" i="145"/>
  <c r="M45" i="145"/>
  <c r="M44" i="145"/>
  <c r="M43" i="145"/>
  <c r="M40" i="145"/>
  <c r="M39" i="145"/>
  <c r="M38" i="145"/>
  <c r="M35" i="145"/>
  <c r="M34" i="145"/>
  <c r="M30" i="145"/>
  <c r="M28" i="145"/>
  <c r="M25" i="145"/>
  <c r="M26" i="145" s="1"/>
  <c r="M27" i="152" s="1"/>
  <c r="M20" i="145"/>
  <c r="M19" i="145"/>
  <c r="M18" i="145"/>
  <c r="M17" i="145"/>
  <c r="M13" i="145"/>
  <c r="M10" i="145"/>
  <c r="M9" i="145"/>
  <c r="M8" i="145"/>
  <c r="M5" i="145"/>
  <c r="M4" i="145"/>
  <c r="M3" i="145"/>
  <c r="D21" i="142"/>
  <c r="E21" i="142"/>
  <c r="E22" i="148" s="1"/>
  <c r="D26" i="142"/>
  <c r="E26" i="142"/>
  <c r="D11" i="143"/>
  <c r="D16" i="143"/>
  <c r="M14" i="144"/>
  <c r="M84" i="144" s="1"/>
  <c r="M14" i="143"/>
  <c r="D41" i="144"/>
  <c r="W41" i="144" s="1"/>
  <c r="J64" i="144"/>
  <c r="G65" i="144"/>
  <c r="G85" i="144" s="1"/>
  <c r="D36" i="143"/>
  <c r="E36" i="143"/>
  <c r="F36" i="143"/>
  <c r="G36" i="143"/>
  <c r="H36" i="143"/>
  <c r="I36" i="143"/>
  <c r="J36" i="143"/>
  <c r="K36" i="143"/>
  <c r="L36" i="143"/>
  <c r="D41" i="143"/>
  <c r="E41" i="143"/>
  <c r="F41" i="143"/>
  <c r="G41" i="143"/>
  <c r="H41" i="143"/>
  <c r="I41" i="143"/>
  <c r="J41" i="143"/>
  <c r="K41" i="143"/>
  <c r="L41" i="143"/>
  <c r="L85" i="145"/>
  <c r="L84" i="145"/>
  <c r="L83" i="145"/>
  <c r="L80" i="145"/>
  <c r="L79" i="145"/>
  <c r="L78" i="145"/>
  <c r="L75" i="145"/>
  <c r="L74" i="145"/>
  <c r="L73" i="145"/>
  <c r="L65" i="145"/>
  <c r="L64" i="145"/>
  <c r="L63" i="145"/>
  <c r="L60" i="145"/>
  <c r="L59" i="145"/>
  <c r="L58" i="145"/>
  <c r="L50" i="145"/>
  <c r="L49" i="145"/>
  <c r="L48" i="145"/>
  <c r="L45" i="145"/>
  <c r="L44" i="145"/>
  <c r="L43" i="145"/>
  <c r="L40" i="145"/>
  <c r="L39" i="145"/>
  <c r="L38" i="145"/>
  <c r="L35" i="145"/>
  <c r="L34" i="145"/>
  <c r="L30" i="145"/>
  <c r="L25" i="145"/>
  <c r="L26" i="145" s="1"/>
  <c r="L20" i="145"/>
  <c r="L19" i="145"/>
  <c r="L18" i="145"/>
  <c r="L17" i="145"/>
  <c r="L13" i="145"/>
  <c r="L10" i="145"/>
  <c r="L9" i="145"/>
  <c r="L8" i="145"/>
  <c r="L3" i="145"/>
  <c r="L4" i="145"/>
  <c r="L5" i="145"/>
  <c r="L14" i="143"/>
  <c r="L14" i="144"/>
  <c r="K45" i="145"/>
  <c r="J45" i="145"/>
  <c r="I45" i="145"/>
  <c r="H45" i="145"/>
  <c r="G45" i="145"/>
  <c r="F45" i="145"/>
  <c r="E45" i="145"/>
  <c r="K44" i="145"/>
  <c r="J44" i="145"/>
  <c r="I44" i="145"/>
  <c r="H44" i="145"/>
  <c r="G44" i="145"/>
  <c r="F44" i="145"/>
  <c r="E44" i="145"/>
  <c r="K43" i="145"/>
  <c r="J43" i="145"/>
  <c r="I43" i="145"/>
  <c r="I46" i="145" s="1"/>
  <c r="H43" i="145"/>
  <c r="H46" i="145"/>
  <c r="G43" i="145"/>
  <c r="F43" i="145"/>
  <c r="E43" i="145"/>
  <c r="E46" i="145" s="1"/>
  <c r="D45" i="145"/>
  <c r="D44" i="145"/>
  <c r="D43" i="145"/>
  <c r="K40" i="145"/>
  <c r="J40" i="145"/>
  <c r="I40" i="145"/>
  <c r="H40" i="145"/>
  <c r="G40" i="145"/>
  <c r="F40" i="145"/>
  <c r="E40" i="145"/>
  <c r="K39" i="145"/>
  <c r="J39" i="145"/>
  <c r="I39" i="145"/>
  <c r="H39" i="145"/>
  <c r="G39" i="145"/>
  <c r="F39" i="145"/>
  <c r="E39" i="145"/>
  <c r="K38" i="145"/>
  <c r="J38" i="145"/>
  <c r="I38" i="145"/>
  <c r="H38" i="145"/>
  <c r="G38" i="145"/>
  <c r="F38" i="145"/>
  <c r="E38" i="145"/>
  <c r="D40" i="145"/>
  <c r="D39" i="145"/>
  <c r="K35" i="145"/>
  <c r="J35" i="145"/>
  <c r="I35" i="145"/>
  <c r="H35" i="145"/>
  <c r="G35" i="145"/>
  <c r="F35" i="145"/>
  <c r="E35" i="145"/>
  <c r="E36" i="145"/>
  <c r="K34" i="145"/>
  <c r="J34" i="145"/>
  <c r="I34" i="145"/>
  <c r="H34" i="145"/>
  <c r="G34" i="145"/>
  <c r="F34" i="145"/>
  <c r="E34" i="145"/>
  <c r="D35" i="145"/>
  <c r="D34" i="145"/>
  <c r="D38" i="145"/>
  <c r="R16" i="117"/>
  <c r="T80" i="125"/>
  <c r="T79" i="125"/>
  <c r="T78" i="125"/>
  <c r="T75" i="125"/>
  <c r="T74" i="125"/>
  <c r="T73" i="125"/>
  <c r="T70" i="125"/>
  <c r="T69" i="125"/>
  <c r="T68" i="125"/>
  <c r="T65" i="125"/>
  <c r="T64" i="125"/>
  <c r="T63" i="125"/>
  <c r="T60" i="125"/>
  <c r="T59" i="125"/>
  <c r="T58" i="125"/>
  <c r="T55" i="125"/>
  <c r="T54" i="125"/>
  <c r="T53" i="125"/>
  <c r="T50" i="125"/>
  <c r="T49" i="125"/>
  <c r="T48" i="125"/>
  <c r="T45" i="125"/>
  <c r="T44" i="125"/>
  <c r="T43" i="125"/>
  <c r="T40" i="125"/>
  <c r="T39" i="125"/>
  <c r="T38" i="125"/>
  <c r="T35" i="125"/>
  <c r="T34" i="125"/>
  <c r="T33" i="125"/>
  <c r="T30" i="125"/>
  <c r="T29" i="125"/>
  <c r="T28" i="125"/>
  <c r="T25" i="125"/>
  <c r="T24" i="125"/>
  <c r="T23" i="125"/>
  <c r="T20" i="125"/>
  <c r="T19" i="125"/>
  <c r="T18" i="125"/>
  <c r="T15" i="125"/>
  <c r="T14" i="125"/>
  <c r="T10" i="125"/>
  <c r="T9" i="125"/>
  <c r="T8" i="125"/>
  <c r="T5" i="125"/>
  <c r="T4" i="125"/>
  <c r="T3" i="125"/>
  <c r="O29" i="141"/>
  <c r="N29" i="141"/>
  <c r="M29" i="141"/>
  <c r="L29" i="141"/>
  <c r="L30" i="147" s="1"/>
  <c r="K29" i="141"/>
  <c r="K30" i="141" s="1"/>
  <c r="J29" i="141"/>
  <c r="I29" i="141"/>
  <c r="H29" i="141"/>
  <c r="H30" i="147" s="1"/>
  <c r="G29" i="141"/>
  <c r="F29" i="141"/>
  <c r="E29" i="141"/>
  <c r="D29" i="141"/>
  <c r="P28" i="141"/>
  <c r="P29" i="141" s="1"/>
  <c r="P27" i="141"/>
  <c r="V4" i="129"/>
  <c r="V3" i="129"/>
  <c r="I50" i="140"/>
  <c r="H50" i="140"/>
  <c r="N50" i="140"/>
  <c r="M50" i="140"/>
  <c r="L50" i="140"/>
  <c r="K50" i="140"/>
  <c r="J50" i="140"/>
  <c r="G50" i="140"/>
  <c r="F50" i="140"/>
  <c r="E50" i="140"/>
  <c r="P48" i="140"/>
  <c r="P47" i="140"/>
  <c r="D50" i="140"/>
  <c r="E11" i="143"/>
  <c r="F11" i="143"/>
  <c r="G11" i="143"/>
  <c r="H11" i="143"/>
  <c r="I11" i="143"/>
  <c r="J11" i="143"/>
  <c r="H14" i="143"/>
  <c r="H84" i="143" s="1"/>
  <c r="I14" i="143"/>
  <c r="I84" i="143"/>
  <c r="J14" i="143"/>
  <c r="J84" i="143"/>
  <c r="D76" i="144"/>
  <c r="D36" i="144"/>
  <c r="W36" i="144" s="1"/>
  <c r="K28" i="145"/>
  <c r="K29" i="145"/>
  <c r="K30" i="145"/>
  <c r="K48" i="145"/>
  <c r="K49" i="145"/>
  <c r="K50" i="145"/>
  <c r="K58" i="145"/>
  <c r="K59" i="145"/>
  <c r="K60" i="145"/>
  <c r="K63" i="145"/>
  <c r="K64" i="145"/>
  <c r="K65" i="145"/>
  <c r="K73" i="145"/>
  <c r="K74" i="145"/>
  <c r="K75" i="145"/>
  <c r="K78" i="145"/>
  <c r="K79" i="145"/>
  <c r="K80" i="145"/>
  <c r="K83" i="145"/>
  <c r="K84" i="145"/>
  <c r="K85" i="145"/>
  <c r="K25" i="145"/>
  <c r="K26" i="145"/>
  <c r="K18" i="145"/>
  <c r="K19" i="145"/>
  <c r="K20" i="145"/>
  <c r="K8" i="145"/>
  <c r="K9" i="145"/>
  <c r="K11" i="145" s="1"/>
  <c r="K10" i="145"/>
  <c r="K3" i="145"/>
  <c r="K4" i="145"/>
  <c r="K5" i="145"/>
  <c r="K14" i="143"/>
  <c r="K14" i="144"/>
  <c r="K17" i="145"/>
  <c r="K13" i="145"/>
  <c r="J28" i="145"/>
  <c r="J29" i="145"/>
  <c r="J30" i="145"/>
  <c r="J73" i="145"/>
  <c r="J74" i="145"/>
  <c r="J75" i="145"/>
  <c r="J78" i="145"/>
  <c r="J79" i="145"/>
  <c r="J80" i="145"/>
  <c r="J83" i="145"/>
  <c r="J84" i="145"/>
  <c r="J85" i="145"/>
  <c r="J63" i="145"/>
  <c r="J65" i="145"/>
  <c r="J58" i="145"/>
  <c r="J59" i="145"/>
  <c r="J60" i="145"/>
  <c r="J48" i="145"/>
  <c r="J49" i="145"/>
  <c r="J50" i="145"/>
  <c r="J18" i="145"/>
  <c r="J19" i="145"/>
  <c r="J20" i="145"/>
  <c r="J8" i="145"/>
  <c r="J11" i="145" s="1"/>
  <c r="J9" i="145"/>
  <c r="J10" i="145"/>
  <c r="J26" i="145"/>
  <c r="D66" i="143"/>
  <c r="G26" i="144"/>
  <c r="E6" i="143"/>
  <c r="J3" i="145"/>
  <c r="J4" i="145"/>
  <c r="J5" i="145"/>
  <c r="J13" i="145"/>
  <c r="J17" i="145"/>
  <c r="J14" i="144"/>
  <c r="E89" i="90"/>
  <c r="F89" i="90"/>
  <c r="G89" i="90"/>
  <c r="H89" i="90"/>
  <c r="I89" i="90"/>
  <c r="J89" i="90"/>
  <c r="K89" i="90"/>
  <c r="L89" i="90"/>
  <c r="M89" i="90"/>
  <c r="N89" i="90"/>
  <c r="O89" i="90"/>
  <c r="D89" i="90"/>
  <c r="D90" i="90"/>
  <c r="D91" i="90"/>
  <c r="E86" i="127"/>
  <c r="F86" i="127"/>
  <c r="L86" i="127"/>
  <c r="N86" i="127"/>
  <c r="D86" i="127"/>
  <c r="E68" i="113"/>
  <c r="F68" i="113"/>
  <c r="F71" i="113" s="1"/>
  <c r="F72" i="113" s="1"/>
  <c r="G68" i="113"/>
  <c r="G71" i="113" s="1"/>
  <c r="G72" i="113" s="1"/>
  <c r="H68" i="113"/>
  <c r="H71" i="113" s="1"/>
  <c r="H72" i="113" s="1"/>
  <c r="I68" i="113"/>
  <c r="I71" i="113" s="1"/>
  <c r="I72" i="113" s="1"/>
  <c r="J68" i="113"/>
  <c r="J71" i="113" s="1"/>
  <c r="J72" i="113" s="1"/>
  <c r="K68" i="113"/>
  <c r="K71" i="113"/>
  <c r="K72" i="113" s="1"/>
  <c r="L68" i="113"/>
  <c r="L71" i="113"/>
  <c r="L72" i="113" s="1"/>
  <c r="M68" i="113"/>
  <c r="M71" i="113" s="1"/>
  <c r="M72" i="113" s="1"/>
  <c r="N68" i="113"/>
  <c r="N71" i="113" s="1"/>
  <c r="N72" i="113" s="1"/>
  <c r="O68" i="113"/>
  <c r="O71" i="113" s="1"/>
  <c r="O72" i="113" s="1"/>
  <c r="O40" i="128"/>
  <c r="N40" i="128"/>
  <c r="N41" i="128"/>
  <c r="M40" i="128"/>
  <c r="L40" i="128"/>
  <c r="K40" i="128"/>
  <c r="J40" i="128"/>
  <c r="I40" i="128"/>
  <c r="H40" i="128"/>
  <c r="H41" i="128"/>
  <c r="G40" i="128"/>
  <c r="F40" i="128"/>
  <c r="E40" i="128"/>
  <c r="N39" i="128"/>
  <c r="M39" i="128"/>
  <c r="M41" i="128" s="1"/>
  <c r="L39" i="128"/>
  <c r="K39" i="128"/>
  <c r="K41" i="128" s="1"/>
  <c r="J39" i="128"/>
  <c r="I39" i="128"/>
  <c r="I41" i="128" s="1"/>
  <c r="H39" i="128"/>
  <c r="G39" i="128"/>
  <c r="F39" i="128"/>
  <c r="E39" i="128"/>
  <c r="D40" i="128"/>
  <c r="D39" i="128"/>
  <c r="D41" i="128" s="1"/>
  <c r="O34" i="128"/>
  <c r="N34" i="128"/>
  <c r="M34" i="128"/>
  <c r="L34" i="128"/>
  <c r="K34" i="128"/>
  <c r="J34" i="128"/>
  <c r="I34" i="128"/>
  <c r="H34" i="128"/>
  <c r="G34" i="128"/>
  <c r="F34" i="128"/>
  <c r="E34" i="128"/>
  <c r="D33" i="128"/>
  <c r="P32" i="128"/>
  <c r="P31" i="128"/>
  <c r="E59" i="129"/>
  <c r="F59" i="129"/>
  <c r="G59" i="129"/>
  <c r="H59" i="129"/>
  <c r="I59" i="129"/>
  <c r="J59" i="129"/>
  <c r="L59" i="129"/>
  <c r="M59" i="129"/>
  <c r="N59" i="129"/>
  <c r="E60" i="129"/>
  <c r="F60" i="129"/>
  <c r="G60" i="129"/>
  <c r="H60" i="129"/>
  <c r="I60" i="129"/>
  <c r="J60" i="129"/>
  <c r="L60" i="129"/>
  <c r="M60" i="129"/>
  <c r="N60" i="129"/>
  <c r="D60" i="129"/>
  <c r="D59" i="129"/>
  <c r="R49" i="129"/>
  <c r="P49" i="129"/>
  <c r="P50" i="129" s="1"/>
  <c r="P48" i="129"/>
  <c r="P47" i="129"/>
  <c r="J78" i="142"/>
  <c r="I17" i="135"/>
  <c r="J60" i="140"/>
  <c r="S61" i="128"/>
  <c r="S57" i="128"/>
  <c r="S53" i="128"/>
  <c r="S49" i="128"/>
  <c r="D23" i="113"/>
  <c r="D28" i="117"/>
  <c r="D53" i="113"/>
  <c r="D38" i="113"/>
  <c r="D43" i="113"/>
  <c r="D46" i="113" s="1"/>
  <c r="D73" i="113"/>
  <c r="E23" i="113"/>
  <c r="E53" i="113"/>
  <c r="E63" i="117" s="1"/>
  <c r="E43" i="113"/>
  <c r="E43" i="117" s="1"/>
  <c r="E73" i="113"/>
  <c r="F23" i="113"/>
  <c r="F26" i="113" s="1"/>
  <c r="F53" i="113"/>
  <c r="F63" i="117" s="1"/>
  <c r="F38" i="113"/>
  <c r="F41" i="113" s="1"/>
  <c r="F43" i="113"/>
  <c r="F43" i="117" s="1"/>
  <c r="F73" i="113"/>
  <c r="F76" i="113" s="1"/>
  <c r="G23" i="113"/>
  <c r="G26" i="113" s="1"/>
  <c r="G53" i="113"/>
  <c r="G38" i="113"/>
  <c r="G38" i="117" s="1"/>
  <c r="G43" i="113"/>
  <c r="G73" i="113"/>
  <c r="G78" i="117" s="1"/>
  <c r="H23" i="113"/>
  <c r="H26" i="113" s="1"/>
  <c r="H27" i="113" s="1"/>
  <c r="H53" i="113"/>
  <c r="H56" i="113" s="1"/>
  <c r="H57" i="113" s="1"/>
  <c r="H38" i="113"/>
  <c r="H38" i="117" s="1"/>
  <c r="H43" i="113"/>
  <c r="H46" i="113" s="1"/>
  <c r="H73" i="113"/>
  <c r="H78" i="117" s="1"/>
  <c r="I23" i="113"/>
  <c r="I26" i="113" s="1"/>
  <c r="I27" i="113" s="1"/>
  <c r="I53" i="113"/>
  <c r="I56" i="113" s="1"/>
  <c r="I38" i="113"/>
  <c r="I43" i="113"/>
  <c r="I46" i="113" s="1"/>
  <c r="I73" i="113"/>
  <c r="I76" i="113" s="1"/>
  <c r="I83" i="145"/>
  <c r="I84" i="145"/>
  <c r="I85" i="145"/>
  <c r="I78" i="145"/>
  <c r="I79" i="145"/>
  <c r="I80" i="145"/>
  <c r="I73" i="145"/>
  <c r="I74" i="145"/>
  <c r="I76" i="145" s="1"/>
  <c r="I75" i="145"/>
  <c r="I63" i="145"/>
  <c r="I64" i="145"/>
  <c r="I65" i="145"/>
  <c r="I58" i="145"/>
  <c r="I59" i="145"/>
  <c r="I60" i="145"/>
  <c r="I48" i="145"/>
  <c r="I49" i="145"/>
  <c r="I50" i="145"/>
  <c r="I28" i="145"/>
  <c r="I29" i="145"/>
  <c r="I30" i="145"/>
  <c r="I18" i="145"/>
  <c r="I19" i="145"/>
  <c r="I20" i="145"/>
  <c r="I8" i="145"/>
  <c r="I9" i="145"/>
  <c r="I10" i="145"/>
  <c r="I3" i="145"/>
  <c r="I4" i="145"/>
  <c r="I5" i="145"/>
  <c r="P56" i="140"/>
  <c r="P55" i="140"/>
  <c r="P52" i="140"/>
  <c r="P51" i="140"/>
  <c r="P44" i="140"/>
  <c r="P43" i="140"/>
  <c r="P40" i="140"/>
  <c r="P39" i="140"/>
  <c r="P36" i="140"/>
  <c r="P35" i="140"/>
  <c r="P32" i="140"/>
  <c r="P31" i="140"/>
  <c r="P28" i="140"/>
  <c r="P27" i="140"/>
  <c r="P24" i="140"/>
  <c r="P23" i="140"/>
  <c r="P20" i="140"/>
  <c r="P19" i="140"/>
  <c r="P17" i="140"/>
  <c r="P16" i="140"/>
  <c r="P15" i="140"/>
  <c r="J13" i="140"/>
  <c r="P12" i="140"/>
  <c r="P11" i="140"/>
  <c r="P8" i="140"/>
  <c r="P7" i="140"/>
  <c r="P15" i="141"/>
  <c r="P16" i="141"/>
  <c r="P31" i="141"/>
  <c r="P32" i="141"/>
  <c r="P33" i="141" s="1"/>
  <c r="P23" i="141"/>
  <c r="P25" i="141" s="1"/>
  <c r="P24" i="141"/>
  <c r="J17" i="141"/>
  <c r="J13" i="141"/>
  <c r="P11" i="141"/>
  <c r="J25" i="141"/>
  <c r="I36" i="144"/>
  <c r="I13" i="145"/>
  <c r="I14" i="144"/>
  <c r="I84" i="144" s="1"/>
  <c r="D18" i="145"/>
  <c r="D19" i="145"/>
  <c r="D20" i="145"/>
  <c r="E18" i="145"/>
  <c r="E19" i="145"/>
  <c r="E20" i="145"/>
  <c r="F18" i="145"/>
  <c r="F19" i="145"/>
  <c r="F20" i="145"/>
  <c r="G18" i="145"/>
  <c r="G19" i="145"/>
  <c r="G20" i="145"/>
  <c r="H18" i="145"/>
  <c r="H19" i="145"/>
  <c r="H20" i="145"/>
  <c r="D26" i="145"/>
  <c r="E26" i="145"/>
  <c r="F26" i="145"/>
  <c r="D28" i="145"/>
  <c r="D29" i="145"/>
  <c r="D30" i="145"/>
  <c r="E28" i="145"/>
  <c r="E29" i="145"/>
  <c r="E30" i="145"/>
  <c r="F28" i="145"/>
  <c r="F29" i="145"/>
  <c r="F30" i="145"/>
  <c r="G28" i="145"/>
  <c r="G29" i="145"/>
  <c r="G30" i="145"/>
  <c r="H28" i="145"/>
  <c r="H30" i="145"/>
  <c r="D63" i="145"/>
  <c r="D64" i="145"/>
  <c r="D65" i="145"/>
  <c r="E63" i="145"/>
  <c r="E64" i="145"/>
  <c r="E65" i="145"/>
  <c r="F63" i="145"/>
  <c r="F64" i="145"/>
  <c r="F65" i="145"/>
  <c r="G63" i="145"/>
  <c r="G64" i="145"/>
  <c r="G65" i="145"/>
  <c r="H63" i="145"/>
  <c r="H64" i="145"/>
  <c r="H65" i="145"/>
  <c r="D58" i="145"/>
  <c r="D59" i="145"/>
  <c r="D60" i="145"/>
  <c r="E58" i="145"/>
  <c r="E59" i="145"/>
  <c r="E60" i="145"/>
  <c r="F58" i="145"/>
  <c r="F59" i="145"/>
  <c r="F60" i="145"/>
  <c r="G58" i="145"/>
  <c r="G59" i="145"/>
  <c r="G60" i="145"/>
  <c r="H58" i="145"/>
  <c r="H59" i="145"/>
  <c r="H60" i="145"/>
  <c r="E8" i="145"/>
  <c r="E9" i="145"/>
  <c r="E11" i="145" s="1"/>
  <c r="E10" i="145"/>
  <c r="F8" i="145"/>
  <c r="F9" i="145"/>
  <c r="F10" i="145"/>
  <c r="G8" i="145"/>
  <c r="G9" i="145"/>
  <c r="G10" i="145"/>
  <c r="H8" i="145"/>
  <c r="H9" i="145"/>
  <c r="H10" i="145"/>
  <c r="D48" i="145"/>
  <c r="D49" i="145"/>
  <c r="D50" i="145"/>
  <c r="E48" i="145"/>
  <c r="E49" i="145"/>
  <c r="E50" i="145"/>
  <c r="F48" i="145"/>
  <c r="F49" i="145"/>
  <c r="F50" i="145"/>
  <c r="G48" i="145"/>
  <c r="G49" i="145"/>
  <c r="G50" i="145"/>
  <c r="H48" i="145"/>
  <c r="H49" i="145"/>
  <c r="H50" i="145"/>
  <c r="D3" i="145"/>
  <c r="D4" i="145"/>
  <c r="D5" i="145"/>
  <c r="E3" i="145"/>
  <c r="E4" i="145"/>
  <c r="E5" i="145"/>
  <c r="F3" i="145"/>
  <c r="F4" i="145"/>
  <c r="F5" i="145"/>
  <c r="G3" i="145"/>
  <c r="G4" i="145"/>
  <c r="G5" i="145"/>
  <c r="H3" i="145"/>
  <c r="H4" i="145"/>
  <c r="H5" i="145"/>
  <c r="D73" i="145"/>
  <c r="D74" i="145"/>
  <c r="D75" i="145"/>
  <c r="E73" i="145"/>
  <c r="E74" i="145"/>
  <c r="E75" i="145"/>
  <c r="F73" i="145"/>
  <c r="F76" i="145" s="1"/>
  <c r="F74" i="145"/>
  <c r="F75" i="145"/>
  <c r="G73" i="145"/>
  <c r="G74" i="145"/>
  <c r="G75" i="145"/>
  <c r="H73" i="145"/>
  <c r="H74" i="145"/>
  <c r="H75" i="145"/>
  <c r="D78" i="145"/>
  <c r="D79" i="145"/>
  <c r="D80" i="145"/>
  <c r="E78" i="145"/>
  <c r="E79" i="145"/>
  <c r="E80" i="145"/>
  <c r="F78" i="145"/>
  <c r="F81" i="145"/>
  <c r="F79" i="145"/>
  <c r="F80" i="145"/>
  <c r="G78" i="145"/>
  <c r="G79" i="145"/>
  <c r="G80" i="145"/>
  <c r="H78" i="145"/>
  <c r="H79" i="145"/>
  <c r="H80" i="145"/>
  <c r="D83" i="145"/>
  <c r="D84" i="145"/>
  <c r="D85" i="145"/>
  <c r="E83" i="145"/>
  <c r="E84" i="145"/>
  <c r="E85" i="145"/>
  <c r="F83" i="145"/>
  <c r="F84" i="145"/>
  <c r="F85" i="145"/>
  <c r="G83" i="145"/>
  <c r="G84" i="145"/>
  <c r="G85" i="145"/>
  <c r="H83" i="145"/>
  <c r="H84" i="145"/>
  <c r="H85" i="145"/>
  <c r="I37" i="140"/>
  <c r="P54" i="144"/>
  <c r="P4" i="144"/>
  <c r="P19" i="144"/>
  <c r="P24" i="144"/>
  <c r="P29" i="144"/>
  <c r="P34" i="144"/>
  <c r="P39" i="144"/>
  <c r="P44" i="144"/>
  <c r="P49" i="144"/>
  <c r="P59" i="144"/>
  <c r="P74" i="144"/>
  <c r="P79" i="144"/>
  <c r="P13" i="144"/>
  <c r="P53" i="144"/>
  <c r="P3" i="144"/>
  <c r="P18" i="144"/>
  <c r="P21" i="144" s="1"/>
  <c r="P23" i="144"/>
  <c r="P28" i="144"/>
  <c r="P33" i="144"/>
  <c r="P38" i="144"/>
  <c r="P41" i="144" s="1"/>
  <c r="P43" i="144"/>
  <c r="P48" i="144"/>
  <c r="P58" i="144"/>
  <c r="P63" i="144"/>
  <c r="P73" i="144"/>
  <c r="P78" i="144"/>
  <c r="P55" i="144"/>
  <c r="P5" i="144"/>
  <c r="P20" i="144"/>
  <c r="P25" i="144"/>
  <c r="P35" i="144"/>
  <c r="P40" i="144"/>
  <c r="P45" i="144"/>
  <c r="P50" i="144"/>
  <c r="P60" i="144"/>
  <c r="P75" i="144"/>
  <c r="P80" i="144"/>
  <c r="J94" i="124"/>
  <c r="D13" i="145"/>
  <c r="E13" i="145"/>
  <c r="F13" i="145"/>
  <c r="G13" i="145"/>
  <c r="H13" i="145"/>
  <c r="D14" i="145"/>
  <c r="E14" i="145"/>
  <c r="F14" i="145"/>
  <c r="G14" i="145"/>
  <c r="P78" i="143"/>
  <c r="P13" i="143"/>
  <c r="P53" i="143"/>
  <c r="P3" i="143"/>
  <c r="P8" i="143"/>
  <c r="P18" i="143"/>
  <c r="P23" i="143"/>
  <c r="P33" i="143"/>
  <c r="P38" i="143"/>
  <c r="P43" i="143"/>
  <c r="P48" i="143"/>
  <c r="P58" i="143"/>
  <c r="P63" i="143"/>
  <c r="P66" i="143"/>
  <c r="P73" i="143"/>
  <c r="P54" i="143"/>
  <c r="P4" i="143"/>
  <c r="P9" i="143"/>
  <c r="P19" i="143"/>
  <c r="P24" i="143"/>
  <c r="P39" i="143"/>
  <c r="P34" i="143"/>
  <c r="P44" i="143"/>
  <c r="P49" i="143"/>
  <c r="P59" i="143"/>
  <c r="P64" i="143"/>
  <c r="P79" i="143"/>
  <c r="P74" i="143"/>
  <c r="P55" i="143"/>
  <c r="P5" i="143"/>
  <c r="P10" i="143"/>
  <c r="P20" i="143"/>
  <c r="P25" i="143"/>
  <c r="P30" i="143"/>
  <c r="P40" i="143"/>
  <c r="P35" i="143"/>
  <c r="P45" i="143"/>
  <c r="P50" i="143"/>
  <c r="P60" i="143"/>
  <c r="P65" i="143"/>
  <c r="P80" i="143"/>
  <c r="P81" i="143" s="1"/>
  <c r="P75" i="143"/>
  <c r="D60" i="140"/>
  <c r="T60" i="140"/>
  <c r="P8" i="142"/>
  <c r="P9" i="142"/>
  <c r="P48" i="142"/>
  <c r="P49" i="142"/>
  <c r="P50" i="142"/>
  <c r="P18" i="142"/>
  <c r="P19" i="142"/>
  <c r="P23" i="142"/>
  <c r="P28" i="142"/>
  <c r="P33" i="142"/>
  <c r="P36" i="142" s="1"/>
  <c r="P38" i="142"/>
  <c r="P43" i="142"/>
  <c r="P53" i="142"/>
  <c r="P63" i="142"/>
  <c r="P64" i="142"/>
  <c r="P68" i="142"/>
  <c r="P73" i="142"/>
  <c r="P74" i="142"/>
  <c r="P3" i="142"/>
  <c r="P4" i="142"/>
  <c r="P5" i="142"/>
  <c r="P13" i="142"/>
  <c r="P58" i="142"/>
  <c r="I78" i="142"/>
  <c r="H17" i="135"/>
  <c r="D80" i="142"/>
  <c r="I60" i="140"/>
  <c r="K60" i="140"/>
  <c r="H7" i="79"/>
  <c r="I59" i="140"/>
  <c r="K59" i="140"/>
  <c r="H6" i="79"/>
  <c r="I9" i="140"/>
  <c r="J5" i="140"/>
  <c r="P4" i="140"/>
  <c r="E13" i="140"/>
  <c r="F13" i="140"/>
  <c r="G13" i="140"/>
  <c r="H13" i="140"/>
  <c r="E60" i="140"/>
  <c r="F60" i="140"/>
  <c r="G60" i="140"/>
  <c r="H60" i="140"/>
  <c r="H59" i="140"/>
  <c r="J59" i="140"/>
  <c r="I80" i="142"/>
  <c r="H29" i="135" s="1"/>
  <c r="J80" i="142"/>
  <c r="I79" i="142"/>
  <c r="J79" i="142"/>
  <c r="I23" i="135" s="1"/>
  <c r="H78" i="142"/>
  <c r="G17" i="135" s="1"/>
  <c r="H14" i="144"/>
  <c r="H84" i="144" s="1"/>
  <c r="I57" i="145"/>
  <c r="I17" i="145"/>
  <c r="H17" i="145"/>
  <c r="D61" i="144"/>
  <c r="W61" i="144" s="1"/>
  <c r="D46" i="144"/>
  <c r="D56" i="143"/>
  <c r="R56" i="143" s="1"/>
  <c r="D6" i="143"/>
  <c r="R6" i="143" s="1"/>
  <c r="E11" i="142"/>
  <c r="F11" i="142"/>
  <c r="G11" i="142"/>
  <c r="E16" i="142"/>
  <c r="F16" i="142"/>
  <c r="G16" i="142"/>
  <c r="E9" i="140"/>
  <c r="E10" i="146" s="1"/>
  <c r="F9" i="140"/>
  <c r="G9" i="140"/>
  <c r="G10" i="146" s="1"/>
  <c r="H80" i="142"/>
  <c r="G29" i="135"/>
  <c r="G81" i="143"/>
  <c r="H81" i="143"/>
  <c r="I81" i="143"/>
  <c r="J81" i="143"/>
  <c r="D31" i="144"/>
  <c r="D21" i="144"/>
  <c r="D22" i="151" s="1"/>
  <c r="P36" i="128"/>
  <c r="P55" i="145"/>
  <c r="P53" i="145"/>
  <c r="G56" i="143"/>
  <c r="F37" i="140"/>
  <c r="I13" i="140"/>
  <c r="H16" i="144"/>
  <c r="P7" i="141"/>
  <c r="H9" i="140"/>
  <c r="J9" i="140"/>
  <c r="H6" i="142"/>
  <c r="P4" i="141"/>
  <c r="P3" i="141"/>
  <c r="P3" i="140"/>
  <c r="H5" i="140"/>
  <c r="E80" i="142"/>
  <c r="D29" i="135"/>
  <c r="F80" i="142"/>
  <c r="E29" i="135" s="1"/>
  <c r="D51" i="142"/>
  <c r="E51" i="142"/>
  <c r="F51" i="142"/>
  <c r="D37" i="140"/>
  <c r="D38" i="146" s="1"/>
  <c r="E37" i="140"/>
  <c r="D57" i="140"/>
  <c r="D58" i="140"/>
  <c r="E57" i="140"/>
  <c r="E58" i="146" s="1"/>
  <c r="F57" i="140"/>
  <c r="D57" i="129"/>
  <c r="E57" i="129"/>
  <c r="F57" i="129"/>
  <c r="F58" i="129" s="1"/>
  <c r="D5" i="140"/>
  <c r="E5" i="140"/>
  <c r="F5" i="140"/>
  <c r="F66" i="142"/>
  <c r="E76" i="142"/>
  <c r="F76" i="142"/>
  <c r="D6" i="142"/>
  <c r="E6" i="142"/>
  <c r="F6" i="142"/>
  <c r="D68" i="113"/>
  <c r="D71" i="113" s="1"/>
  <c r="D72" i="113" s="1"/>
  <c r="P59" i="142"/>
  <c r="P15" i="145"/>
  <c r="P15" i="144"/>
  <c r="P15" i="143"/>
  <c r="P19" i="141"/>
  <c r="G37" i="128"/>
  <c r="G38" i="128" s="1"/>
  <c r="D37" i="128"/>
  <c r="D38" i="128"/>
  <c r="E37" i="128"/>
  <c r="E38" i="128" s="1"/>
  <c r="F37" i="128"/>
  <c r="F38" i="128" s="1"/>
  <c r="G57" i="129"/>
  <c r="F21" i="141"/>
  <c r="U63" i="127"/>
  <c r="G80" i="142"/>
  <c r="F29" i="135"/>
  <c r="K78" i="142"/>
  <c r="J17" i="135" s="1"/>
  <c r="L78" i="142"/>
  <c r="K17" i="135" s="1"/>
  <c r="M78" i="142"/>
  <c r="L17" i="135" s="1"/>
  <c r="N78" i="142"/>
  <c r="M17" i="135"/>
  <c r="O78" i="142"/>
  <c r="N17" i="135" s="1"/>
  <c r="H79" i="142"/>
  <c r="G23" i="135" s="1"/>
  <c r="K79" i="142"/>
  <c r="J23" i="135" s="1"/>
  <c r="L79" i="142"/>
  <c r="K23" i="135"/>
  <c r="M79" i="142"/>
  <c r="L23" i="135" s="1"/>
  <c r="N79" i="142"/>
  <c r="M23" i="135" s="1"/>
  <c r="O79" i="142"/>
  <c r="N23" i="135" s="1"/>
  <c r="K80" i="142"/>
  <c r="J29" i="135" s="1"/>
  <c r="L80" i="142"/>
  <c r="M80" i="142"/>
  <c r="L29" i="135" s="1"/>
  <c r="N80" i="142"/>
  <c r="O80" i="142"/>
  <c r="N29" i="135" s="1"/>
  <c r="G76" i="142"/>
  <c r="H76" i="142"/>
  <c r="I76" i="142"/>
  <c r="I77" i="148" s="1"/>
  <c r="J76" i="142"/>
  <c r="J77" i="148" s="1"/>
  <c r="K76" i="142"/>
  <c r="L76" i="142"/>
  <c r="M76" i="142"/>
  <c r="M77" i="148" s="1"/>
  <c r="N76" i="142"/>
  <c r="O76" i="142"/>
  <c r="O77" i="148" s="1"/>
  <c r="F71" i="142"/>
  <c r="G71" i="142"/>
  <c r="H71" i="142"/>
  <c r="H72" i="148" s="1"/>
  <c r="I71" i="142"/>
  <c r="J71" i="142"/>
  <c r="K71" i="142"/>
  <c r="L71" i="142"/>
  <c r="L72" i="148" s="1"/>
  <c r="M71" i="142"/>
  <c r="M72" i="148" s="1"/>
  <c r="N71" i="142"/>
  <c r="O71" i="142"/>
  <c r="G66" i="142"/>
  <c r="H66" i="142"/>
  <c r="J66" i="142"/>
  <c r="K66" i="142"/>
  <c r="L66" i="142"/>
  <c r="M66" i="142"/>
  <c r="M67" i="148" s="1"/>
  <c r="N66" i="142"/>
  <c r="O66" i="142"/>
  <c r="F56" i="142"/>
  <c r="G56" i="142"/>
  <c r="H56" i="142"/>
  <c r="H57" i="148" s="1"/>
  <c r="I56" i="142"/>
  <c r="J56" i="142"/>
  <c r="K56" i="142"/>
  <c r="K57" i="148" s="1"/>
  <c r="L56" i="142"/>
  <c r="L57" i="148" s="1"/>
  <c r="M56" i="142"/>
  <c r="M57" i="148" s="1"/>
  <c r="N56" i="142"/>
  <c r="O56" i="142"/>
  <c r="P10" i="142"/>
  <c r="P14" i="142"/>
  <c r="P15" i="142"/>
  <c r="P20" i="142"/>
  <c r="P24" i="142"/>
  <c r="P25" i="142"/>
  <c r="P29" i="142"/>
  <c r="P30" i="142"/>
  <c r="P34" i="142"/>
  <c r="P35" i="142"/>
  <c r="P39" i="142"/>
  <c r="P40" i="142"/>
  <c r="P44" i="142"/>
  <c r="P46" i="142" s="1"/>
  <c r="P45" i="142"/>
  <c r="P54" i="142"/>
  <c r="P55" i="142"/>
  <c r="P60" i="142"/>
  <c r="P65" i="142"/>
  <c r="P66" i="142" s="1"/>
  <c r="P69" i="142"/>
  <c r="P70" i="142"/>
  <c r="P75" i="142"/>
  <c r="L59" i="140"/>
  <c r="L60" i="140"/>
  <c r="G57" i="140"/>
  <c r="G58" i="140" s="1"/>
  <c r="H57" i="140"/>
  <c r="H57" i="129"/>
  <c r="I57" i="140"/>
  <c r="I58" i="146" s="1"/>
  <c r="I57" i="129"/>
  <c r="J57" i="140"/>
  <c r="J58" i="146" s="1"/>
  <c r="K57" i="140"/>
  <c r="K58" i="146" s="1"/>
  <c r="L57" i="140"/>
  <c r="L58" i="146" s="1"/>
  <c r="L57" i="129"/>
  <c r="M57" i="140"/>
  <c r="M58" i="146" s="1"/>
  <c r="M57" i="129"/>
  <c r="N57" i="140"/>
  <c r="O57" i="140"/>
  <c r="O58" i="140" s="1"/>
  <c r="J57" i="129"/>
  <c r="J58" i="140" s="1"/>
  <c r="K57" i="129"/>
  <c r="N57" i="129"/>
  <c r="N58" i="140" s="1"/>
  <c r="O57" i="129"/>
  <c r="F41" i="140"/>
  <c r="G41" i="140"/>
  <c r="H41" i="140"/>
  <c r="I41" i="140"/>
  <c r="J41" i="140"/>
  <c r="K41" i="140"/>
  <c r="L41" i="140"/>
  <c r="M41" i="140"/>
  <c r="M42" i="146" s="1"/>
  <c r="N41" i="140"/>
  <c r="O41" i="140"/>
  <c r="F6" i="143"/>
  <c r="F46" i="142"/>
  <c r="G46" i="142"/>
  <c r="H46" i="142"/>
  <c r="I46" i="142"/>
  <c r="J46" i="142"/>
  <c r="K46" i="142"/>
  <c r="L46" i="142"/>
  <c r="M46" i="142"/>
  <c r="N46" i="142"/>
  <c r="N47" i="148" s="1"/>
  <c r="O46" i="142"/>
  <c r="F41" i="142"/>
  <c r="G41" i="142"/>
  <c r="H41" i="142"/>
  <c r="I41" i="142"/>
  <c r="J41" i="142"/>
  <c r="K41" i="142"/>
  <c r="K42" i="148" s="1"/>
  <c r="L41" i="142"/>
  <c r="M41" i="142"/>
  <c r="M42" i="148" s="1"/>
  <c r="N41" i="142"/>
  <c r="O41" i="142"/>
  <c r="F36" i="142"/>
  <c r="G36" i="142"/>
  <c r="H36" i="142"/>
  <c r="H37" i="148" s="1"/>
  <c r="I36" i="142"/>
  <c r="J36" i="142"/>
  <c r="K36" i="142"/>
  <c r="K37" i="148" s="1"/>
  <c r="L36" i="142"/>
  <c r="L37" i="148" s="1"/>
  <c r="M36" i="142"/>
  <c r="M37" i="148" s="1"/>
  <c r="N36" i="142"/>
  <c r="N37" i="148" s="1"/>
  <c r="O36" i="142"/>
  <c r="O37" i="148" s="1"/>
  <c r="F31" i="142"/>
  <c r="G31" i="142"/>
  <c r="H31" i="142"/>
  <c r="I31" i="142"/>
  <c r="J31" i="142"/>
  <c r="K31" i="142"/>
  <c r="L31" i="142"/>
  <c r="L32" i="148" s="1"/>
  <c r="M31" i="142"/>
  <c r="M32" i="148" s="1"/>
  <c r="N31" i="142"/>
  <c r="O31" i="142"/>
  <c r="F26" i="142"/>
  <c r="G26" i="142"/>
  <c r="H26" i="142"/>
  <c r="I26" i="142"/>
  <c r="J26" i="142"/>
  <c r="J27" i="148" s="1"/>
  <c r="K26" i="142"/>
  <c r="K27" i="148" s="1"/>
  <c r="L26" i="142"/>
  <c r="F33" i="141"/>
  <c r="F34" i="141" s="1"/>
  <c r="G33" i="141"/>
  <c r="H33" i="141"/>
  <c r="I33" i="141"/>
  <c r="J33" i="141"/>
  <c r="J34" i="147"/>
  <c r="J37" i="128"/>
  <c r="K33" i="141"/>
  <c r="K37" i="128"/>
  <c r="L33" i="141"/>
  <c r="M33" i="141"/>
  <c r="M34" i="147" s="1"/>
  <c r="N33" i="141"/>
  <c r="N34" i="147" s="1"/>
  <c r="O33" i="141"/>
  <c r="O37" i="128"/>
  <c r="O38" i="128" s="1"/>
  <c r="H37" i="128"/>
  <c r="I37" i="128"/>
  <c r="I38" i="128" s="1"/>
  <c r="L37" i="128"/>
  <c r="L38" i="128" s="1"/>
  <c r="M37" i="128"/>
  <c r="M38" i="128" s="1"/>
  <c r="F25" i="141"/>
  <c r="G25" i="141"/>
  <c r="H25" i="141"/>
  <c r="H26" i="147"/>
  <c r="I25" i="141"/>
  <c r="I26" i="147" s="1"/>
  <c r="K25" i="141"/>
  <c r="K26" i="147" s="1"/>
  <c r="L25" i="141"/>
  <c r="L26" i="147" s="1"/>
  <c r="M25" i="141"/>
  <c r="N25" i="141"/>
  <c r="O25" i="141"/>
  <c r="F17" i="141"/>
  <c r="G17" i="141"/>
  <c r="H17" i="141"/>
  <c r="H18" i="147" s="1"/>
  <c r="I17" i="141"/>
  <c r="K17" i="141"/>
  <c r="K18" i="147" s="1"/>
  <c r="L17" i="141"/>
  <c r="M17" i="141"/>
  <c r="M18" i="147"/>
  <c r="N17" i="141"/>
  <c r="O17" i="141"/>
  <c r="O18" i="147"/>
  <c r="F33" i="140"/>
  <c r="H33" i="140"/>
  <c r="G33" i="140"/>
  <c r="G34" i="146" s="1"/>
  <c r="I33" i="140"/>
  <c r="J33" i="140"/>
  <c r="K33" i="140"/>
  <c r="L33" i="140"/>
  <c r="L34" i="146" s="1"/>
  <c r="M33" i="140"/>
  <c r="M34" i="146" s="1"/>
  <c r="N33" i="140"/>
  <c r="O33" i="140"/>
  <c r="F29" i="140"/>
  <c r="F30" i="146" s="1"/>
  <c r="H29" i="140"/>
  <c r="G29" i="140"/>
  <c r="I29" i="140"/>
  <c r="I30" i="146" s="1"/>
  <c r="J29" i="140"/>
  <c r="K29" i="140"/>
  <c r="K30" i="146" s="1"/>
  <c r="L29" i="140"/>
  <c r="L30" i="146" s="1"/>
  <c r="M29" i="140"/>
  <c r="M30" i="146" s="1"/>
  <c r="N29" i="140"/>
  <c r="N30" i="146" s="1"/>
  <c r="O29" i="140"/>
  <c r="F25" i="140"/>
  <c r="F26" i="146" s="1"/>
  <c r="G25" i="140"/>
  <c r="H25" i="140"/>
  <c r="H26" i="146" s="1"/>
  <c r="I25" i="140"/>
  <c r="I26" i="146" s="1"/>
  <c r="J25" i="140"/>
  <c r="K25" i="140"/>
  <c r="L25" i="140"/>
  <c r="L26" i="146" s="1"/>
  <c r="M25" i="140"/>
  <c r="N25" i="140"/>
  <c r="O25" i="140"/>
  <c r="O26" i="146" s="1"/>
  <c r="G21" i="142"/>
  <c r="F21" i="140"/>
  <c r="G21" i="140"/>
  <c r="H21" i="140"/>
  <c r="I21" i="140"/>
  <c r="J21" i="140"/>
  <c r="K21" i="140"/>
  <c r="L21" i="140"/>
  <c r="L22" i="146" s="1"/>
  <c r="M21" i="140"/>
  <c r="M22" i="146" s="1"/>
  <c r="N21" i="140"/>
  <c r="O21" i="140"/>
  <c r="O22" i="146" s="1"/>
  <c r="F18" i="140"/>
  <c r="G18" i="140"/>
  <c r="H18" i="140"/>
  <c r="I18" i="140"/>
  <c r="J18" i="140"/>
  <c r="K18" i="140"/>
  <c r="L18" i="140"/>
  <c r="M18" i="140"/>
  <c r="N18" i="140"/>
  <c r="O18" i="140"/>
  <c r="H11" i="142"/>
  <c r="I11" i="142"/>
  <c r="J11" i="142"/>
  <c r="K11" i="142"/>
  <c r="L11" i="142"/>
  <c r="M11" i="142"/>
  <c r="N11" i="142"/>
  <c r="N12" i="148" s="1"/>
  <c r="O11" i="142"/>
  <c r="F9" i="141"/>
  <c r="G9" i="141"/>
  <c r="G10" i="147" s="1"/>
  <c r="H9" i="141"/>
  <c r="I9" i="141"/>
  <c r="J9" i="141"/>
  <c r="K9" i="141"/>
  <c r="L9" i="141"/>
  <c r="M9" i="141"/>
  <c r="N9" i="141"/>
  <c r="O9" i="141"/>
  <c r="O10" i="147"/>
  <c r="K9" i="140"/>
  <c r="L9" i="140"/>
  <c r="M9" i="140"/>
  <c r="M10" i="146" s="1"/>
  <c r="N9" i="140"/>
  <c r="O9" i="140"/>
  <c r="I5" i="140"/>
  <c r="K5" i="140"/>
  <c r="L5" i="140"/>
  <c r="M5" i="140"/>
  <c r="N5" i="140"/>
  <c r="O5" i="140"/>
  <c r="O6" i="140" s="1"/>
  <c r="G5" i="141"/>
  <c r="G5" i="140"/>
  <c r="K13" i="140"/>
  <c r="L13" i="140"/>
  <c r="M13" i="140"/>
  <c r="M14" i="146" s="1"/>
  <c r="N13" i="140"/>
  <c r="G37" i="140"/>
  <c r="H37" i="140"/>
  <c r="J37" i="140"/>
  <c r="K37" i="140"/>
  <c r="L37" i="140"/>
  <c r="M37" i="140"/>
  <c r="N37" i="140"/>
  <c r="F17" i="145"/>
  <c r="G17" i="145"/>
  <c r="E17" i="145"/>
  <c r="E16" i="143"/>
  <c r="F16" i="143"/>
  <c r="G16" i="143"/>
  <c r="I16" i="143"/>
  <c r="J16" i="143"/>
  <c r="J17" i="149" s="1"/>
  <c r="N16" i="143"/>
  <c r="O16" i="143"/>
  <c r="G57" i="145"/>
  <c r="G51" i="142"/>
  <c r="H51" i="142"/>
  <c r="I51" i="142"/>
  <c r="J51" i="142"/>
  <c r="K51" i="142"/>
  <c r="L51" i="142"/>
  <c r="M51" i="142"/>
  <c r="N51" i="142"/>
  <c r="O51" i="142"/>
  <c r="O52" i="148"/>
  <c r="P20" i="141"/>
  <c r="P21" i="141" s="1"/>
  <c r="G21" i="141"/>
  <c r="H21" i="141"/>
  <c r="I21" i="141"/>
  <c r="J21" i="141"/>
  <c r="K21" i="141"/>
  <c r="L21" i="141"/>
  <c r="M21" i="141"/>
  <c r="N21" i="141"/>
  <c r="O21" i="141"/>
  <c r="O22" i="141"/>
  <c r="F21" i="142"/>
  <c r="H21" i="142"/>
  <c r="I21" i="142"/>
  <c r="J21" i="142"/>
  <c r="K21" i="142"/>
  <c r="L21" i="142"/>
  <c r="L22" i="142" s="1"/>
  <c r="M21" i="142"/>
  <c r="N21" i="142"/>
  <c r="O21" i="142"/>
  <c r="H16" i="142"/>
  <c r="I16" i="142"/>
  <c r="J16" i="142"/>
  <c r="K16" i="142"/>
  <c r="L16" i="142"/>
  <c r="M16" i="142"/>
  <c r="N16" i="142"/>
  <c r="O16" i="142"/>
  <c r="F13" i="141"/>
  <c r="G13" i="141"/>
  <c r="H13" i="141"/>
  <c r="I13" i="141"/>
  <c r="K13" i="141"/>
  <c r="L13" i="141"/>
  <c r="M13" i="141"/>
  <c r="N13" i="141"/>
  <c r="N14" i="147"/>
  <c r="O13" i="141"/>
  <c r="P12" i="141"/>
  <c r="P13" i="141" s="1"/>
  <c r="G6" i="142"/>
  <c r="I6" i="142"/>
  <c r="J6" i="142"/>
  <c r="K6" i="142"/>
  <c r="L6" i="142"/>
  <c r="M6" i="142"/>
  <c r="N6" i="142"/>
  <c r="O6" i="142"/>
  <c r="O7" i="148" s="1"/>
  <c r="F5" i="141"/>
  <c r="H5" i="141"/>
  <c r="I5" i="141"/>
  <c r="J5" i="141"/>
  <c r="K5" i="141"/>
  <c r="L5" i="141"/>
  <c r="M5" i="141"/>
  <c r="N5" i="141"/>
  <c r="O5" i="141"/>
  <c r="O6" i="147" s="1"/>
  <c r="E16" i="144"/>
  <c r="F16" i="144"/>
  <c r="G16" i="144"/>
  <c r="J16" i="144"/>
  <c r="M16" i="144"/>
  <c r="N16" i="144"/>
  <c r="O16" i="144"/>
  <c r="O81" i="144"/>
  <c r="O82" i="151"/>
  <c r="N81" i="144"/>
  <c r="M81" i="144"/>
  <c r="L81" i="144"/>
  <c r="K81" i="144"/>
  <c r="K82" i="151" s="1"/>
  <c r="I81" i="144"/>
  <c r="H81" i="144"/>
  <c r="G81" i="144"/>
  <c r="F81" i="144"/>
  <c r="F82" i="151" s="1"/>
  <c r="E81" i="144"/>
  <c r="D81" i="144"/>
  <c r="W81" i="144" s="1"/>
  <c r="O76" i="144"/>
  <c r="O77" i="151" s="1"/>
  <c r="N76" i="144"/>
  <c r="M76" i="144"/>
  <c r="L76" i="144"/>
  <c r="L77" i="151" s="1"/>
  <c r="K76" i="144"/>
  <c r="J76" i="144"/>
  <c r="I76" i="144"/>
  <c r="H76" i="144"/>
  <c r="H77" i="151" s="1"/>
  <c r="F76" i="144"/>
  <c r="F77" i="151" s="1"/>
  <c r="E76" i="144"/>
  <c r="O66" i="144"/>
  <c r="N66" i="144"/>
  <c r="N67" i="144" s="1"/>
  <c r="M66" i="144"/>
  <c r="M67" i="151" s="1"/>
  <c r="M67" i="144"/>
  <c r="L66" i="144"/>
  <c r="L67" i="151" s="1"/>
  <c r="K66" i="144"/>
  <c r="J66" i="144"/>
  <c r="J67" i="151" s="1"/>
  <c r="I66" i="144"/>
  <c r="I67" i="151" s="1"/>
  <c r="H66" i="144"/>
  <c r="H67" i="151" s="1"/>
  <c r="G66" i="144"/>
  <c r="F66" i="144"/>
  <c r="E66" i="144"/>
  <c r="E67" i="151" s="1"/>
  <c r="D66" i="144"/>
  <c r="W66" i="144" s="1"/>
  <c r="O61" i="144"/>
  <c r="N61" i="144"/>
  <c r="M61" i="144"/>
  <c r="L61" i="144"/>
  <c r="K61" i="144"/>
  <c r="J61" i="144"/>
  <c r="I61" i="144"/>
  <c r="H61" i="144"/>
  <c r="H62" i="151" s="1"/>
  <c r="G61" i="144"/>
  <c r="F61" i="144"/>
  <c r="E61" i="144"/>
  <c r="O56" i="144"/>
  <c r="O57" i="151" s="1"/>
  <c r="N56" i="144"/>
  <c r="N57" i="151" s="1"/>
  <c r="L56" i="144"/>
  <c r="K56" i="144"/>
  <c r="J56" i="144"/>
  <c r="I56" i="144"/>
  <c r="H56" i="144"/>
  <c r="G56" i="144"/>
  <c r="F56" i="144"/>
  <c r="F57" i="151" s="1"/>
  <c r="D56" i="144"/>
  <c r="W56" i="144" s="1"/>
  <c r="O51" i="144"/>
  <c r="N51" i="144"/>
  <c r="M51" i="144"/>
  <c r="L51" i="144"/>
  <c r="K51" i="144"/>
  <c r="I51" i="144"/>
  <c r="H51" i="144"/>
  <c r="G51" i="144"/>
  <c r="F51" i="144"/>
  <c r="E51" i="144"/>
  <c r="D51" i="144"/>
  <c r="O46" i="144"/>
  <c r="O47" i="151" s="1"/>
  <c r="N46" i="144"/>
  <c r="N47" i="151" s="1"/>
  <c r="M46" i="144"/>
  <c r="M47" i="151"/>
  <c r="L46" i="144"/>
  <c r="L47" i="151" s="1"/>
  <c r="K46" i="144"/>
  <c r="J46" i="144"/>
  <c r="I46" i="144"/>
  <c r="H46" i="144"/>
  <c r="G46" i="144"/>
  <c r="F46" i="144"/>
  <c r="E46" i="144"/>
  <c r="O41" i="144"/>
  <c r="O42" i="144" s="1"/>
  <c r="N41" i="144"/>
  <c r="N42" i="151" s="1"/>
  <c r="M41" i="144"/>
  <c r="L41" i="144"/>
  <c r="K41" i="144"/>
  <c r="J41" i="144"/>
  <c r="I41" i="144"/>
  <c r="H41" i="144"/>
  <c r="G41" i="144"/>
  <c r="F41" i="144"/>
  <c r="E41" i="144"/>
  <c r="L36" i="144"/>
  <c r="K36" i="144"/>
  <c r="J36" i="144"/>
  <c r="H36" i="144"/>
  <c r="G36" i="144"/>
  <c r="F36" i="144"/>
  <c r="E36" i="144"/>
  <c r="O31" i="144"/>
  <c r="O32" i="151" s="1"/>
  <c r="N31" i="144"/>
  <c r="M31" i="144"/>
  <c r="M32" i="151"/>
  <c r="L31" i="144"/>
  <c r="K31" i="144"/>
  <c r="J31" i="144"/>
  <c r="I31" i="144"/>
  <c r="H31" i="144"/>
  <c r="G31" i="144"/>
  <c r="F31" i="144"/>
  <c r="E31" i="144"/>
  <c r="N26" i="144"/>
  <c r="M26" i="144"/>
  <c r="L26" i="144"/>
  <c r="K26" i="144"/>
  <c r="J26" i="144"/>
  <c r="I26" i="144"/>
  <c r="H26" i="144"/>
  <c r="F26" i="144"/>
  <c r="E26" i="144"/>
  <c r="D26" i="144"/>
  <c r="O21" i="144"/>
  <c r="O22" i="151" s="1"/>
  <c r="N21" i="144"/>
  <c r="N22" i="151"/>
  <c r="M21" i="144"/>
  <c r="L21" i="144"/>
  <c r="K21" i="144"/>
  <c r="J21" i="144"/>
  <c r="I21" i="144"/>
  <c r="H21" i="144"/>
  <c r="G21" i="144"/>
  <c r="F21" i="144"/>
  <c r="E21" i="144"/>
  <c r="O11" i="144"/>
  <c r="O12" i="151" s="1"/>
  <c r="N11" i="144"/>
  <c r="N12" i="151" s="1"/>
  <c r="M11" i="144"/>
  <c r="L11" i="144"/>
  <c r="K11" i="144"/>
  <c r="J11" i="144"/>
  <c r="I11" i="144"/>
  <c r="H11" i="144"/>
  <c r="G11" i="144"/>
  <c r="F11" i="144"/>
  <c r="E11" i="144"/>
  <c r="E6" i="144"/>
  <c r="F6" i="144"/>
  <c r="G6" i="144"/>
  <c r="H6" i="144"/>
  <c r="I6" i="144"/>
  <c r="J6" i="144"/>
  <c r="N6" i="144"/>
  <c r="O6" i="144"/>
  <c r="O7" i="151" s="1"/>
  <c r="O81" i="143"/>
  <c r="O82" i="143" s="1"/>
  <c r="N81" i="143"/>
  <c r="M81" i="143"/>
  <c r="L81" i="143"/>
  <c r="K81" i="143"/>
  <c r="F81" i="143"/>
  <c r="E81" i="143"/>
  <c r="O76" i="143"/>
  <c r="N76" i="143"/>
  <c r="M76" i="143"/>
  <c r="L76" i="143"/>
  <c r="K76" i="143"/>
  <c r="J76" i="143"/>
  <c r="I76" i="143"/>
  <c r="H76" i="143"/>
  <c r="G76" i="143"/>
  <c r="F76" i="143"/>
  <c r="E76" i="143"/>
  <c r="D76" i="143"/>
  <c r="O71" i="143"/>
  <c r="O66" i="143"/>
  <c r="N66" i="143"/>
  <c r="M66" i="143"/>
  <c r="L66" i="143"/>
  <c r="K66" i="143"/>
  <c r="J66" i="143"/>
  <c r="I66" i="143"/>
  <c r="H66" i="143"/>
  <c r="G66" i="143"/>
  <c r="F66" i="143"/>
  <c r="E66" i="143"/>
  <c r="O61" i="143"/>
  <c r="N61" i="143"/>
  <c r="M61" i="143"/>
  <c r="L61" i="143"/>
  <c r="K61" i="143"/>
  <c r="J61" i="143"/>
  <c r="I61" i="143"/>
  <c r="H61" i="143"/>
  <c r="G61" i="143"/>
  <c r="F61" i="143"/>
  <c r="E61" i="143"/>
  <c r="D61" i="143"/>
  <c r="R61" i="143" s="1"/>
  <c r="O56" i="143"/>
  <c r="N56" i="143"/>
  <c r="M56" i="143"/>
  <c r="L56" i="143"/>
  <c r="K56" i="143"/>
  <c r="J56" i="143"/>
  <c r="I56" i="143"/>
  <c r="H56" i="143"/>
  <c r="F56" i="143"/>
  <c r="O51" i="143"/>
  <c r="N51" i="143"/>
  <c r="M51" i="143"/>
  <c r="M52" i="149" s="1"/>
  <c r="L51" i="143"/>
  <c r="K51" i="143"/>
  <c r="J51" i="143"/>
  <c r="I51" i="143"/>
  <c r="H51" i="143"/>
  <c r="F51" i="143"/>
  <c r="E51" i="143"/>
  <c r="O46" i="143"/>
  <c r="N46" i="143"/>
  <c r="M46" i="143"/>
  <c r="L46" i="143"/>
  <c r="K46" i="143"/>
  <c r="J46" i="143"/>
  <c r="I46" i="143"/>
  <c r="H46" i="143"/>
  <c r="G46" i="143"/>
  <c r="F46" i="143"/>
  <c r="E46" i="143"/>
  <c r="O41" i="143"/>
  <c r="N41" i="143"/>
  <c r="M41" i="143"/>
  <c r="O36" i="143"/>
  <c r="N36" i="143"/>
  <c r="M36" i="143"/>
  <c r="K31" i="143"/>
  <c r="J31" i="143"/>
  <c r="I31" i="143"/>
  <c r="F31" i="143"/>
  <c r="E31" i="143"/>
  <c r="O26" i="143"/>
  <c r="O27" i="149"/>
  <c r="N26" i="143"/>
  <c r="M26" i="143"/>
  <c r="L26" i="143"/>
  <c r="K26" i="143"/>
  <c r="J26" i="143"/>
  <c r="I26" i="143"/>
  <c r="H26" i="143"/>
  <c r="G26" i="143"/>
  <c r="O21" i="143"/>
  <c r="N21" i="143"/>
  <c r="M21" i="143"/>
  <c r="L21" i="143"/>
  <c r="K21" i="143"/>
  <c r="J21" i="143"/>
  <c r="I21" i="143"/>
  <c r="H21" i="143"/>
  <c r="G21" i="143"/>
  <c r="O11" i="143"/>
  <c r="O12" i="149"/>
  <c r="N11" i="143"/>
  <c r="M11" i="143"/>
  <c r="L11" i="143"/>
  <c r="K11" i="143"/>
  <c r="G6" i="143"/>
  <c r="H6" i="143"/>
  <c r="I6" i="143"/>
  <c r="J6" i="143"/>
  <c r="K6" i="143"/>
  <c r="L6" i="143"/>
  <c r="N6" i="143"/>
  <c r="N7" i="149"/>
  <c r="O6" i="143"/>
  <c r="I71" i="129"/>
  <c r="O13" i="129"/>
  <c r="O14" i="140" s="1"/>
  <c r="O9" i="129"/>
  <c r="O10" i="129" s="1"/>
  <c r="O5" i="129"/>
  <c r="O21" i="127"/>
  <c r="P45" i="125"/>
  <c r="P50" i="125"/>
  <c r="P50" i="124"/>
  <c r="P30" i="124"/>
  <c r="D17" i="145"/>
  <c r="D16" i="144"/>
  <c r="V5" i="144"/>
  <c r="V4" i="144"/>
  <c r="V3" i="144"/>
  <c r="O83" i="125"/>
  <c r="P78" i="125"/>
  <c r="O81" i="124"/>
  <c r="P58" i="125"/>
  <c r="P61" i="125" s="1"/>
  <c r="P60" i="124"/>
  <c r="P55" i="125"/>
  <c r="O56" i="125"/>
  <c r="O57" i="125" s="1"/>
  <c r="P53" i="124"/>
  <c r="O56" i="124"/>
  <c r="P40" i="125"/>
  <c r="O41" i="125"/>
  <c r="P35" i="125"/>
  <c r="P35" i="124"/>
  <c r="P34" i="124"/>
  <c r="P28" i="125"/>
  <c r="P28" i="124"/>
  <c r="P25" i="124"/>
  <c r="P23" i="124"/>
  <c r="P20" i="124"/>
  <c r="N83" i="125"/>
  <c r="P8" i="125"/>
  <c r="P11" i="125" s="1"/>
  <c r="P9" i="125"/>
  <c r="P10" i="125"/>
  <c r="P14" i="125"/>
  <c r="P15" i="125"/>
  <c r="P18" i="125"/>
  <c r="P19" i="125"/>
  <c r="P20" i="125"/>
  <c r="P23" i="125"/>
  <c r="P26" i="125" s="1"/>
  <c r="P24" i="125"/>
  <c r="P25" i="125"/>
  <c r="P29" i="125"/>
  <c r="P31" i="125" s="1"/>
  <c r="P30" i="125"/>
  <c r="P33" i="125"/>
  <c r="P34" i="125"/>
  <c r="P38" i="125"/>
  <c r="P39" i="125"/>
  <c r="P41" i="125" s="1"/>
  <c r="P43" i="125"/>
  <c r="P44" i="125"/>
  <c r="P48" i="125"/>
  <c r="P51" i="125" s="1"/>
  <c r="P49" i="125"/>
  <c r="P53" i="125"/>
  <c r="P54" i="125"/>
  <c r="P59" i="125"/>
  <c r="P60" i="125"/>
  <c r="P63" i="125"/>
  <c r="P64" i="125"/>
  <c r="P65" i="125"/>
  <c r="P68" i="125"/>
  <c r="P71" i="125"/>
  <c r="P69" i="125"/>
  <c r="P70" i="125"/>
  <c r="P73" i="125"/>
  <c r="P74" i="125"/>
  <c r="P75" i="125"/>
  <c r="P79" i="125"/>
  <c r="P80" i="125"/>
  <c r="P5" i="125"/>
  <c r="P78" i="124"/>
  <c r="P8" i="124"/>
  <c r="P9" i="124"/>
  <c r="P11" i="124" s="1"/>
  <c r="P10" i="124"/>
  <c r="P14" i="124"/>
  <c r="P15" i="124"/>
  <c r="P18" i="124"/>
  <c r="P19" i="124"/>
  <c r="P24" i="124"/>
  <c r="P29" i="124"/>
  <c r="P33" i="124"/>
  <c r="P36" i="124" s="1"/>
  <c r="P38" i="124"/>
  <c r="P39" i="124"/>
  <c r="P40" i="124"/>
  <c r="P43" i="124"/>
  <c r="P44" i="124"/>
  <c r="P45" i="124"/>
  <c r="P48" i="124"/>
  <c r="P49" i="124"/>
  <c r="P54" i="124"/>
  <c r="P55" i="124"/>
  <c r="P58" i="124"/>
  <c r="P59" i="124"/>
  <c r="P61" i="124" s="1"/>
  <c r="P63" i="124"/>
  <c r="P64" i="124"/>
  <c r="P65" i="124"/>
  <c r="P66" i="124" s="1"/>
  <c r="P68" i="124"/>
  <c r="P69" i="124"/>
  <c r="P70" i="124"/>
  <c r="P73" i="124"/>
  <c r="P74" i="124"/>
  <c r="P75" i="124"/>
  <c r="P79" i="124"/>
  <c r="P80" i="124"/>
  <c r="P81" i="124" s="1"/>
  <c r="O11" i="124"/>
  <c r="O12" i="143" s="1"/>
  <c r="P3" i="124"/>
  <c r="P74" i="127"/>
  <c r="P55" i="129"/>
  <c r="P46" i="124"/>
  <c r="P41" i="124"/>
  <c r="P36" i="125"/>
  <c r="P21" i="124"/>
  <c r="P16" i="126"/>
  <c r="P15" i="117"/>
  <c r="P16" i="117"/>
  <c r="P16" i="108"/>
  <c r="E11" i="90"/>
  <c r="E92" i="90" s="1"/>
  <c r="F11" i="90"/>
  <c r="F92" i="90" s="1"/>
  <c r="G11" i="90"/>
  <c r="G92" i="90" s="1"/>
  <c r="H11" i="90"/>
  <c r="H92" i="90" s="1"/>
  <c r="I11" i="90"/>
  <c r="I92" i="90" s="1"/>
  <c r="J11" i="90"/>
  <c r="J92" i="90" s="1"/>
  <c r="K11" i="90"/>
  <c r="K92" i="90" s="1"/>
  <c r="L11" i="90"/>
  <c r="L92" i="90" s="1"/>
  <c r="M11" i="90"/>
  <c r="M92" i="90" s="1"/>
  <c r="N11" i="90"/>
  <c r="N92" i="90" s="1"/>
  <c r="O11" i="90"/>
  <c r="O92" i="90" s="1"/>
  <c r="D11" i="90"/>
  <c r="D92" i="90" s="1"/>
  <c r="P9" i="90"/>
  <c r="P10" i="90"/>
  <c r="P8" i="90"/>
  <c r="P11" i="90" s="1"/>
  <c r="O40" i="87"/>
  <c r="N40" i="87"/>
  <c r="N41" i="87" s="1"/>
  <c r="M40" i="87"/>
  <c r="L40" i="87"/>
  <c r="K40" i="87"/>
  <c r="J40" i="87"/>
  <c r="I40" i="87"/>
  <c r="H40" i="87"/>
  <c r="G40" i="87"/>
  <c r="G41" i="87" s="1"/>
  <c r="F40" i="87"/>
  <c r="E40" i="87"/>
  <c r="D40" i="87"/>
  <c r="O39" i="87"/>
  <c r="O41" i="87" s="1"/>
  <c r="N39" i="87"/>
  <c r="M39" i="87"/>
  <c r="L39" i="87"/>
  <c r="K39" i="87"/>
  <c r="J39" i="87"/>
  <c r="J41" i="87" s="1"/>
  <c r="I39" i="87"/>
  <c r="I41" i="87" s="1"/>
  <c r="H39" i="87"/>
  <c r="G39" i="87"/>
  <c r="F39" i="87"/>
  <c r="F41" i="87" s="1"/>
  <c r="E39" i="87"/>
  <c r="D39" i="87"/>
  <c r="P8" i="87"/>
  <c r="P9" i="87"/>
  <c r="P7" i="87"/>
  <c r="E10" i="111"/>
  <c r="F10" i="111"/>
  <c r="G10" i="111"/>
  <c r="K10" i="111"/>
  <c r="M10" i="111"/>
  <c r="N10" i="111"/>
  <c r="O10" i="111"/>
  <c r="D60" i="84"/>
  <c r="O60" i="84"/>
  <c r="N60" i="84"/>
  <c r="M60" i="84"/>
  <c r="L60" i="84"/>
  <c r="K60" i="84"/>
  <c r="J60" i="84"/>
  <c r="I60" i="84"/>
  <c r="H60" i="84"/>
  <c r="E60" i="84"/>
  <c r="F60" i="84"/>
  <c r="G60" i="84"/>
  <c r="O59" i="84"/>
  <c r="N59" i="84"/>
  <c r="M59" i="84"/>
  <c r="L59" i="84"/>
  <c r="K59" i="84"/>
  <c r="J59" i="84"/>
  <c r="I59" i="84"/>
  <c r="H59" i="84"/>
  <c r="G59" i="84"/>
  <c r="F59" i="84"/>
  <c r="E59" i="84"/>
  <c r="D59" i="84"/>
  <c r="P8" i="84"/>
  <c r="P7" i="84"/>
  <c r="L10" i="111"/>
  <c r="P3" i="127"/>
  <c r="P6" i="127" s="1"/>
  <c r="N76" i="127"/>
  <c r="M76" i="127"/>
  <c r="M77" i="142" s="1"/>
  <c r="L76" i="127"/>
  <c r="K76" i="127"/>
  <c r="K77" i="142" s="1"/>
  <c r="J76" i="127"/>
  <c r="I76" i="127"/>
  <c r="I77" i="142" s="1"/>
  <c r="H76" i="127"/>
  <c r="G76" i="127"/>
  <c r="G77" i="142" s="1"/>
  <c r="F76" i="127"/>
  <c r="E76" i="127"/>
  <c r="E77" i="142" s="1"/>
  <c r="D76" i="127"/>
  <c r="P75" i="127"/>
  <c r="O76" i="127"/>
  <c r="N71" i="127"/>
  <c r="M71" i="127"/>
  <c r="L71" i="127"/>
  <c r="L72" i="142" s="1"/>
  <c r="K71" i="127"/>
  <c r="J71" i="127"/>
  <c r="I71" i="127"/>
  <c r="I72" i="142" s="1"/>
  <c r="H71" i="127"/>
  <c r="G71" i="127"/>
  <c r="G72" i="142" s="1"/>
  <c r="F71" i="127"/>
  <c r="E71" i="127"/>
  <c r="D71" i="127"/>
  <c r="D72" i="142" s="1"/>
  <c r="P70" i="127"/>
  <c r="P69" i="127"/>
  <c r="O68" i="127"/>
  <c r="O66" i="127"/>
  <c r="O67" i="142" s="1"/>
  <c r="N66" i="127"/>
  <c r="M66" i="127"/>
  <c r="L66" i="127"/>
  <c r="L67" i="142" s="1"/>
  <c r="K66" i="127"/>
  <c r="K67" i="142" s="1"/>
  <c r="J66" i="127"/>
  <c r="J67" i="142" s="1"/>
  <c r="I66" i="127"/>
  <c r="H66" i="127"/>
  <c r="H67" i="142"/>
  <c r="G66" i="127"/>
  <c r="G67" i="142"/>
  <c r="F66" i="127"/>
  <c r="F67" i="142" s="1"/>
  <c r="E66" i="127"/>
  <c r="D66" i="127"/>
  <c r="P65" i="127"/>
  <c r="P64" i="127"/>
  <c r="P63" i="127"/>
  <c r="P66" i="127" s="1"/>
  <c r="N61" i="127"/>
  <c r="N62" i="142" s="1"/>
  <c r="M61" i="127"/>
  <c r="L61" i="127"/>
  <c r="L62" i="142" s="1"/>
  <c r="K61" i="127"/>
  <c r="K62" i="142" s="1"/>
  <c r="J61" i="127"/>
  <c r="J62" i="142" s="1"/>
  <c r="I61" i="127"/>
  <c r="H61" i="127"/>
  <c r="H62" i="142" s="1"/>
  <c r="G61" i="127"/>
  <c r="G62" i="142" s="1"/>
  <c r="F61" i="127"/>
  <c r="F62" i="142" s="1"/>
  <c r="E61" i="127"/>
  <c r="E62" i="142" s="1"/>
  <c r="D61" i="127"/>
  <c r="P60" i="127"/>
  <c r="P59" i="127"/>
  <c r="O58" i="127"/>
  <c r="R58" i="127" s="1"/>
  <c r="O61" i="127"/>
  <c r="O62" i="142" s="1"/>
  <c r="N56" i="127"/>
  <c r="M56" i="127"/>
  <c r="M57" i="142" s="1"/>
  <c r="L56" i="127"/>
  <c r="K56" i="127"/>
  <c r="J56" i="127"/>
  <c r="J57" i="142" s="1"/>
  <c r="I56" i="127"/>
  <c r="H56" i="127"/>
  <c r="G56" i="127"/>
  <c r="F56" i="127"/>
  <c r="E56" i="127"/>
  <c r="D56" i="127"/>
  <c r="P55" i="127"/>
  <c r="P54" i="127"/>
  <c r="O53" i="127"/>
  <c r="O51" i="127"/>
  <c r="N51" i="127"/>
  <c r="M51" i="127"/>
  <c r="L51" i="127"/>
  <c r="K51" i="127"/>
  <c r="J51" i="127"/>
  <c r="I51" i="127"/>
  <c r="H51" i="127"/>
  <c r="G51" i="127"/>
  <c r="F51" i="127"/>
  <c r="E51" i="127"/>
  <c r="D51" i="127"/>
  <c r="R51" i="127"/>
  <c r="P50" i="127"/>
  <c r="P49" i="127"/>
  <c r="P48" i="127"/>
  <c r="N46" i="127"/>
  <c r="N47" i="142" s="1"/>
  <c r="L46" i="127"/>
  <c r="L47" i="142" s="1"/>
  <c r="I46" i="127"/>
  <c r="I47" i="142" s="1"/>
  <c r="F46" i="127"/>
  <c r="F47" i="142" s="1"/>
  <c r="E46" i="127"/>
  <c r="D46" i="127"/>
  <c r="P45" i="127"/>
  <c r="P44" i="127"/>
  <c r="G43" i="127"/>
  <c r="O41" i="127"/>
  <c r="O42" i="142" s="1"/>
  <c r="N41" i="127"/>
  <c r="N42" i="142" s="1"/>
  <c r="L41" i="127"/>
  <c r="L42" i="142" s="1"/>
  <c r="J41" i="127"/>
  <c r="H41" i="127"/>
  <c r="F41" i="127"/>
  <c r="E41" i="127"/>
  <c r="D41" i="127"/>
  <c r="P40" i="127"/>
  <c r="G39" i="127"/>
  <c r="R39" i="127" s="1"/>
  <c r="G38" i="127"/>
  <c r="M36" i="127"/>
  <c r="F36" i="127"/>
  <c r="F37" i="142"/>
  <c r="E36" i="127"/>
  <c r="D36" i="127"/>
  <c r="P35" i="127"/>
  <c r="P34" i="127"/>
  <c r="N31" i="127"/>
  <c r="N32" i="142" s="1"/>
  <c r="L31" i="127"/>
  <c r="F31" i="127"/>
  <c r="E31" i="127"/>
  <c r="E32" i="127" s="1"/>
  <c r="D31" i="127"/>
  <c r="P30" i="127"/>
  <c r="G29" i="127"/>
  <c r="G31" i="127" s="1"/>
  <c r="G28" i="127"/>
  <c r="N26" i="127"/>
  <c r="N27" i="142" s="1"/>
  <c r="M26" i="127"/>
  <c r="M27" i="142" s="1"/>
  <c r="L26" i="127"/>
  <c r="K26" i="127"/>
  <c r="J26" i="127"/>
  <c r="I26" i="127"/>
  <c r="H26" i="127"/>
  <c r="G26" i="127"/>
  <c r="F26" i="127"/>
  <c r="E26" i="127"/>
  <c r="D26" i="127"/>
  <c r="P25" i="127"/>
  <c r="P24" i="127"/>
  <c r="O23" i="127"/>
  <c r="O26" i="127" s="1"/>
  <c r="O27" i="142" s="1"/>
  <c r="N21" i="127"/>
  <c r="M21" i="127"/>
  <c r="L21" i="127"/>
  <c r="K21" i="127"/>
  <c r="J21" i="127"/>
  <c r="J22" i="142" s="1"/>
  <c r="I21" i="127"/>
  <c r="H21" i="127"/>
  <c r="G21" i="127"/>
  <c r="F21" i="127"/>
  <c r="E21" i="127"/>
  <c r="D21" i="127"/>
  <c r="P20" i="127"/>
  <c r="P19" i="127"/>
  <c r="P18" i="127"/>
  <c r="O16" i="127"/>
  <c r="N16" i="127"/>
  <c r="N17" i="142" s="1"/>
  <c r="M16" i="127"/>
  <c r="L16" i="127"/>
  <c r="L17" i="142" s="1"/>
  <c r="K16" i="127"/>
  <c r="J16" i="127"/>
  <c r="J17" i="142" s="1"/>
  <c r="I16" i="127"/>
  <c r="H16" i="127"/>
  <c r="H17" i="142" s="1"/>
  <c r="G16" i="127"/>
  <c r="G17" i="142" s="1"/>
  <c r="F16" i="127"/>
  <c r="E16" i="127"/>
  <c r="D16" i="127"/>
  <c r="P15" i="127"/>
  <c r="P14" i="127"/>
  <c r="P13" i="127"/>
  <c r="P16" i="127" s="1"/>
  <c r="O11" i="127"/>
  <c r="N11" i="127"/>
  <c r="M11" i="127"/>
  <c r="M12" i="142" s="1"/>
  <c r="L11" i="127"/>
  <c r="K11" i="127"/>
  <c r="K12" i="142" s="1"/>
  <c r="J11" i="127"/>
  <c r="I11" i="127"/>
  <c r="I12" i="142" s="1"/>
  <c r="H11" i="127"/>
  <c r="G11" i="127"/>
  <c r="F11" i="127"/>
  <c r="E11" i="127"/>
  <c r="D11" i="127"/>
  <c r="P10" i="127"/>
  <c r="P9" i="127"/>
  <c r="P11" i="127" s="1"/>
  <c r="P8" i="127"/>
  <c r="O6" i="127"/>
  <c r="N6" i="127"/>
  <c r="M6" i="127"/>
  <c r="L6" i="127"/>
  <c r="K6" i="127"/>
  <c r="J6" i="127"/>
  <c r="I6" i="127"/>
  <c r="H6" i="127"/>
  <c r="G6" i="127"/>
  <c r="F6" i="127"/>
  <c r="E6" i="127"/>
  <c r="D6" i="127"/>
  <c r="P5" i="127"/>
  <c r="P4" i="127"/>
  <c r="N38" i="128"/>
  <c r="H30" i="128"/>
  <c r="G30" i="128"/>
  <c r="I22" i="128"/>
  <c r="K38" i="128"/>
  <c r="J38" i="128"/>
  <c r="H38" i="128"/>
  <c r="O29" i="128"/>
  <c r="O30" i="128" s="1"/>
  <c r="N29" i="128"/>
  <c r="N30" i="128"/>
  <c r="M29" i="128"/>
  <c r="M30" i="128"/>
  <c r="L29" i="128"/>
  <c r="L30" i="128" s="1"/>
  <c r="K29" i="128"/>
  <c r="K30" i="128"/>
  <c r="J29" i="128"/>
  <c r="J30" i="128" s="1"/>
  <c r="I29" i="128"/>
  <c r="I30" i="128" s="1"/>
  <c r="H29" i="128"/>
  <c r="G29" i="128"/>
  <c r="F29" i="128"/>
  <c r="F30" i="128" s="1"/>
  <c r="E29" i="128"/>
  <c r="E30" i="128" s="1"/>
  <c r="D29" i="128"/>
  <c r="D30" i="128" s="1"/>
  <c r="N25" i="128"/>
  <c r="M25" i="128"/>
  <c r="M26" i="128" s="1"/>
  <c r="L25" i="128"/>
  <c r="L26" i="128" s="1"/>
  <c r="K25" i="128"/>
  <c r="K26" i="128"/>
  <c r="J25" i="128"/>
  <c r="J26" i="141" s="1"/>
  <c r="I25" i="128"/>
  <c r="I26" i="128" s="1"/>
  <c r="H25" i="128"/>
  <c r="H26" i="128" s="1"/>
  <c r="G25" i="128"/>
  <c r="G26" i="128"/>
  <c r="F25" i="128"/>
  <c r="F26" i="128" s="1"/>
  <c r="E25" i="128"/>
  <c r="E26" i="128" s="1"/>
  <c r="D25" i="128"/>
  <c r="D26" i="128" s="1"/>
  <c r="O23" i="128"/>
  <c r="O25" i="128"/>
  <c r="O26" i="128" s="1"/>
  <c r="O21" i="128"/>
  <c r="O22" i="128" s="1"/>
  <c r="N21" i="128"/>
  <c r="N22" i="128" s="1"/>
  <c r="M21" i="128"/>
  <c r="M22" i="128" s="1"/>
  <c r="L21" i="128"/>
  <c r="L22" i="128"/>
  <c r="K21" i="128"/>
  <c r="K22" i="128"/>
  <c r="J21" i="128"/>
  <c r="J22" i="128" s="1"/>
  <c r="I21" i="128"/>
  <c r="I22" i="141" s="1"/>
  <c r="H21" i="128"/>
  <c r="H22" i="128" s="1"/>
  <c r="G21" i="128"/>
  <c r="G22" i="128"/>
  <c r="F21" i="128"/>
  <c r="E21" i="128"/>
  <c r="E22" i="128" s="1"/>
  <c r="D21" i="128"/>
  <c r="N17" i="128"/>
  <c r="N18" i="128"/>
  <c r="M17" i="128"/>
  <c r="M18" i="128" s="1"/>
  <c r="L17" i="128"/>
  <c r="L18" i="128"/>
  <c r="K17" i="128"/>
  <c r="K18" i="128"/>
  <c r="J17" i="128"/>
  <c r="J18" i="128" s="1"/>
  <c r="I17" i="128"/>
  <c r="I18" i="128" s="1"/>
  <c r="H17" i="128"/>
  <c r="H18" i="128" s="1"/>
  <c r="G17" i="128"/>
  <c r="G18" i="128" s="1"/>
  <c r="F17" i="128"/>
  <c r="F18" i="128" s="1"/>
  <c r="E17" i="128"/>
  <c r="E18" i="128"/>
  <c r="D17" i="128"/>
  <c r="O15" i="128"/>
  <c r="O17" i="128"/>
  <c r="O18" i="128" s="1"/>
  <c r="O13" i="128"/>
  <c r="O14" i="128"/>
  <c r="N13" i="128"/>
  <c r="N14" i="128" s="1"/>
  <c r="M13" i="128"/>
  <c r="M14" i="128" s="1"/>
  <c r="L13" i="128"/>
  <c r="L14" i="128" s="1"/>
  <c r="K13" i="128"/>
  <c r="K14" i="128"/>
  <c r="J13" i="128"/>
  <c r="J14" i="128"/>
  <c r="I13" i="128"/>
  <c r="I14" i="128" s="1"/>
  <c r="H13" i="128"/>
  <c r="H14" i="128" s="1"/>
  <c r="G13" i="128"/>
  <c r="G14" i="128" s="1"/>
  <c r="F13" i="128"/>
  <c r="F14" i="141" s="1"/>
  <c r="E13" i="128"/>
  <c r="E14" i="128"/>
  <c r="D13" i="128"/>
  <c r="O9" i="128"/>
  <c r="O10" i="128" s="1"/>
  <c r="N9" i="128"/>
  <c r="N10" i="128" s="1"/>
  <c r="M9" i="128"/>
  <c r="M10" i="128" s="1"/>
  <c r="L9" i="128"/>
  <c r="L10" i="128"/>
  <c r="K9" i="128"/>
  <c r="K10" i="128" s="1"/>
  <c r="J9" i="128"/>
  <c r="J10" i="128" s="1"/>
  <c r="I9" i="128"/>
  <c r="I10" i="128"/>
  <c r="H9" i="128"/>
  <c r="H10" i="128"/>
  <c r="G9" i="128"/>
  <c r="F9" i="128"/>
  <c r="F10" i="128"/>
  <c r="E9" i="128"/>
  <c r="E10" i="128" s="1"/>
  <c r="D9" i="128"/>
  <c r="D10" i="128" s="1"/>
  <c r="O5" i="128"/>
  <c r="O6" i="128" s="1"/>
  <c r="N5" i="128"/>
  <c r="N6" i="128" s="1"/>
  <c r="M5" i="128"/>
  <c r="M6" i="128" s="1"/>
  <c r="L5" i="128"/>
  <c r="L6" i="128" s="1"/>
  <c r="K5" i="128"/>
  <c r="K6" i="128" s="1"/>
  <c r="J5" i="128"/>
  <c r="J6" i="128" s="1"/>
  <c r="I5" i="128"/>
  <c r="H5" i="128"/>
  <c r="H6" i="128"/>
  <c r="G5" i="128"/>
  <c r="F5" i="128"/>
  <c r="F6" i="128" s="1"/>
  <c r="E5" i="128"/>
  <c r="E6" i="128" s="1"/>
  <c r="D5" i="128"/>
  <c r="D6" i="128" s="1"/>
  <c r="J26" i="129"/>
  <c r="O18" i="129"/>
  <c r="N18" i="129"/>
  <c r="M18" i="129"/>
  <c r="L18" i="129"/>
  <c r="K18" i="129"/>
  <c r="J18" i="129"/>
  <c r="I18" i="129"/>
  <c r="H18" i="129"/>
  <c r="G18" i="129"/>
  <c r="F18" i="129"/>
  <c r="E18" i="129"/>
  <c r="D18" i="129"/>
  <c r="N58" i="129"/>
  <c r="M58" i="129"/>
  <c r="L58" i="129"/>
  <c r="K58" i="129"/>
  <c r="J58" i="129"/>
  <c r="I58" i="129"/>
  <c r="H58" i="129"/>
  <c r="G58" i="129"/>
  <c r="E58" i="129"/>
  <c r="O58" i="129"/>
  <c r="N53" i="129"/>
  <c r="M53" i="129"/>
  <c r="M54" i="140" s="1"/>
  <c r="M54" i="129"/>
  <c r="L53" i="129"/>
  <c r="L54" i="140" s="1"/>
  <c r="J53" i="129"/>
  <c r="J54" i="140" s="1"/>
  <c r="I53" i="129"/>
  <c r="I54" i="140" s="1"/>
  <c r="H53" i="129"/>
  <c r="G53" i="129"/>
  <c r="F53" i="129"/>
  <c r="E53" i="129"/>
  <c r="E54" i="129" s="1"/>
  <c r="D53" i="129"/>
  <c r="D54" i="140" s="1"/>
  <c r="K52" i="129"/>
  <c r="K53" i="129"/>
  <c r="K54" i="129" s="1"/>
  <c r="O51" i="129"/>
  <c r="N45" i="129"/>
  <c r="N46" i="140" s="1"/>
  <c r="N46" i="129"/>
  <c r="M45" i="129"/>
  <c r="M46" i="140" s="1"/>
  <c r="L45" i="129"/>
  <c r="L46" i="129" s="1"/>
  <c r="K45" i="129"/>
  <c r="J45" i="129"/>
  <c r="J46" i="140" s="1"/>
  <c r="I45" i="129"/>
  <c r="H45" i="129"/>
  <c r="H46" i="140" s="1"/>
  <c r="H46" i="129"/>
  <c r="G45" i="129"/>
  <c r="G46" i="140" s="1"/>
  <c r="F45" i="129"/>
  <c r="F46" i="140" s="1"/>
  <c r="E45" i="129"/>
  <c r="E46" i="129" s="1"/>
  <c r="D45" i="129"/>
  <c r="D46" i="129" s="1"/>
  <c r="O43" i="129"/>
  <c r="O45" i="129" s="1"/>
  <c r="O46" i="140" s="1"/>
  <c r="O46" i="129"/>
  <c r="N41" i="129"/>
  <c r="N42" i="129" s="1"/>
  <c r="M41" i="129"/>
  <c r="L41" i="129"/>
  <c r="L42" i="129"/>
  <c r="J41" i="129"/>
  <c r="I41" i="129"/>
  <c r="I42" i="129" s="1"/>
  <c r="H41" i="129"/>
  <c r="H42" i="140" s="1"/>
  <c r="G41" i="129"/>
  <c r="G42" i="129" s="1"/>
  <c r="F41" i="129"/>
  <c r="E41" i="129"/>
  <c r="E42" i="129" s="1"/>
  <c r="D41" i="129"/>
  <c r="D42" i="129" s="1"/>
  <c r="O40" i="129"/>
  <c r="K39" i="129"/>
  <c r="O37" i="129"/>
  <c r="O38" i="129"/>
  <c r="N37" i="129"/>
  <c r="N38" i="129" s="1"/>
  <c r="M37" i="129"/>
  <c r="M38" i="129"/>
  <c r="L37" i="129"/>
  <c r="L38" i="129"/>
  <c r="K37" i="129"/>
  <c r="K38" i="129" s="1"/>
  <c r="J37" i="129"/>
  <c r="J38" i="129" s="1"/>
  <c r="I37" i="129"/>
  <c r="I38" i="129" s="1"/>
  <c r="H37" i="129"/>
  <c r="H38" i="129"/>
  <c r="G37" i="129"/>
  <c r="G38" i="129"/>
  <c r="F37" i="129"/>
  <c r="F38" i="129" s="1"/>
  <c r="E37" i="129"/>
  <c r="E38" i="129"/>
  <c r="D37" i="129"/>
  <c r="N33" i="129"/>
  <c r="M33" i="129"/>
  <c r="M34" i="129" s="1"/>
  <c r="L33" i="129"/>
  <c r="L34" i="129" s="1"/>
  <c r="J33" i="129"/>
  <c r="J34" i="129" s="1"/>
  <c r="I33" i="129"/>
  <c r="I34" i="129"/>
  <c r="H33" i="129"/>
  <c r="G33" i="129"/>
  <c r="F33" i="129"/>
  <c r="F34" i="129"/>
  <c r="E33" i="129"/>
  <c r="E34" i="129"/>
  <c r="D33" i="129"/>
  <c r="K32" i="129"/>
  <c r="K33" i="129" s="1"/>
  <c r="O31" i="129"/>
  <c r="O33" i="129" s="1"/>
  <c r="N29" i="129"/>
  <c r="N30" i="140" s="1"/>
  <c r="M29" i="129"/>
  <c r="M30" i="129" s="1"/>
  <c r="L29" i="129"/>
  <c r="L30" i="140" s="1"/>
  <c r="K29" i="129"/>
  <c r="K30" i="129"/>
  <c r="J29" i="129"/>
  <c r="J30" i="129"/>
  <c r="I29" i="129"/>
  <c r="I30" i="129" s="1"/>
  <c r="H29" i="129"/>
  <c r="G29" i="129"/>
  <c r="F29" i="129"/>
  <c r="F30" i="140" s="1"/>
  <c r="F30" i="129"/>
  <c r="E29" i="129"/>
  <c r="E30" i="129"/>
  <c r="D29" i="129"/>
  <c r="O27" i="129"/>
  <c r="O29" i="129"/>
  <c r="O30" i="129" s="1"/>
  <c r="N25" i="129"/>
  <c r="N26" i="140" s="1"/>
  <c r="N26" i="129"/>
  <c r="M25" i="129"/>
  <c r="M26" i="129" s="1"/>
  <c r="L25" i="129"/>
  <c r="J25" i="129"/>
  <c r="I25" i="129"/>
  <c r="I26" i="129" s="1"/>
  <c r="H25" i="129"/>
  <c r="H26" i="129" s="1"/>
  <c r="G25" i="129"/>
  <c r="G26" i="129"/>
  <c r="F25" i="129"/>
  <c r="E25" i="129"/>
  <c r="E26" i="129" s="1"/>
  <c r="D25" i="129"/>
  <c r="D26" i="129"/>
  <c r="K24" i="129"/>
  <c r="O23" i="129"/>
  <c r="N21" i="129"/>
  <c r="M21" i="129"/>
  <c r="L21" i="129"/>
  <c r="L22" i="129" s="1"/>
  <c r="K21" i="129"/>
  <c r="K22" i="140" s="1"/>
  <c r="K22" i="129"/>
  <c r="J21" i="129"/>
  <c r="J22" i="140" s="1"/>
  <c r="J22" i="129"/>
  <c r="I21" i="129"/>
  <c r="I22" i="129" s="1"/>
  <c r="H21" i="129"/>
  <c r="G21" i="129"/>
  <c r="G22" i="140" s="1"/>
  <c r="F21" i="129"/>
  <c r="E21" i="129"/>
  <c r="E22" i="129" s="1"/>
  <c r="D21" i="129"/>
  <c r="O20" i="129"/>
  <c r="O19" i="129"/>
  <c r="P19" i="129"/>
  <c r="O14" i="129"/>
  <c r="N13" i="129"/>
  <c r="N14" i="129" s="1"/>
  <c r="M13" i="129"/>
  <c r="M14" i="129" s="1"/>
  <c r="L13" i="129"/>
  <c r="L14" i="129" s="1"/>
  <c r="K13" i="129"/>
  <c r="K14" i="129" s="1"/>
  <c r="J13" i="129"/>
  <c r="J14" i="129" s="1"/>
  <c r="I13" i="129"/>
  <c r="H13" i="129"/>
  <c r="G13" i="129"/>
  <c r="G14" i="140" s="1"/>
  <c r="F13" i="129"/>
  <c r="F14" i="129" s="1"/>
  <c r="E13" i="129"/>
  <c r="E14" i="129"/>
  <c r="D13" i="129"/>
  <c r="N9" i="129"/>
  <c r="N10" i="129" s="1"/>
  <c r="M9" i="129"/>
  <c r="M10" i="140" s="1"/>
  <c r="L9" i="129"/>
  <c r="L10" i="129"/>
  <c r="K9" i="129"/>
  <c r="J9" i="129"/>
  <c r="I9" i="129"/>
  <c r="I10" i="129" s="1"/>
  <c r="H9" i="129"/>
  <c r="H10" i="140" s="1"/>
  <c r="G9" i="129"/>
  <c r="G10" i="129" s="1"/>
  <c r="F9" i="129"/>
  <c r="E9" i="129"/>
  <c r="D9" i="129"/>
  <c r="O6" i="129"/>
  <c r="N5" i="129"/>
  <c r="M5" i="129"/>
  <c r="M6" i="129" s="1"/>
  <c r="L5" i="129"/>
  <c r="L6" i="129" s="1"/>
  <c r="K5" i="129"/>
  <c r="K6" i="129" s="1"/>
  <c r="J5" i="129"/>
  <c r="I5" i="129"/>
  <c r="I6" i="129" s="1"/>
  <c r="H5" i="129"/>
  <c r="H6" i="129"/>
  <c r="G5" i="129"/>
  <c r="F5" i="129"/>
  <c r="E5" i="129"/>
  <c r="D5" i="129"/>
  <c r="D54" i="129"/>
  <c r="P53" i="127"/>
  <c r="P56" i="127"/>
  <c r="D38" i="129"/>
  <c r="G41" i="127"/>
  <c r="D10" i="111"/>
  <c r="D10" i="129"/>
  <c r="H10" i="111"/>
  <c r="D22" i="129"/>
  <c r="I10" i="111"/>
  <c r="D58" i="129"/>
  <c r="D14" i="129"/>
  <c r="J10" i="111"/>
  <c r="K41" i="87"/>
  <c r="D18" i="128"/>
  <c r="H28" i="127"/>
  <c r="G36" i="127"/>
  <c r="H43" i="127"/>
  <c r="H46" i="127" s="1"/>
  <c r="P73" i="127"/>
  <c r="P76" i="127" s="1"/>
  <c r="G46" i="127"/>
  <c r="K25" i="129"/>
  <c r="K26" i="129" s="1"/>
  <c r="O24" i="129"/>
  <c r="O25" i="129" s="1"/>
  <c r="I36" i="127"/>
  <c r="I37" i="142" s="1"/>
  <c r="H36" i="127"/>
  <c r="H37" i="142" s="1"/>
  <c r="J36" i="127"/>
  <c r="J37" i="142"/>
  <c r="K36" i="127"/>
  <c r="L36" i="127"/>
  <c r="N36" i="127"/>
  <c r="N37" i="142" s="1"/>
  <c r="O36" i="127"/>
  <c r="O37" i="142" s="1"/>
  <c r="E71" i="142"/>
  <c r="E72" i="142"/>
  <c r="D71" i="142"/>
  <c r="E66" i="142"/>
  <c r="D66" i="142"/>
  <c r="D67" i="142"/>
  <c r="D62" i="142"/>
  <c r="E56" i="142"/>
  <c r="E57" i="148" s="1"/>
  <c r="D56" i="142"/>
  <c r="E46" i="142"/>
  <c r="D46" i="142"/>
  <c r="R46" i="142"/>
  <c r="E41" i="142"/>
  <c r="E42" i="142" s="1"/>
  <c r="D41" i="142"/>
  <c r="D42" i="142" s="1"/>
  <c r="E36" i="142"/>
  <c r="E37" i="148" s="1"/>
  <c r="D36" i="142"/>
  <c r="E31" i="142"/>
  <c r="D31" i="142"/>
  <c r="D32" i="142" s="1"/>
  <c r="T14" i="142"/>
  <c r="E33" i="141"/>
  <c r="D33" i="141"/>
  <c r="D25" i="141"/>
  <c r="R25" i="141" s="1"/>
  <c r="E25" i="141"/>
  <c r="E26" i="147" s="1"/>
  <c r="E21" i="141"/>
  <c r="D21" i="141"/>
  <c r="D22" i="141" s="1"/>
  <c r="E17" i="141"/>
  <c r="D17" i="141"/>
  <c r="D18" i="141" s="1"/>
  <c r="E13" i="141"/>
  <c r="E14" i="141" s="1"/>
  <c r="D13" i="141"/>
  <c r="D14" i="147" s="1"/>
  <c r="E9" i="141"/>
  <c r="D9" i="141"/>
  <c r="D10" i="147" s="1"/>
  <c r="P8" i="141"/>
  <c r="E5" i="141"/>
  <c r="D5" i="141"/>
  <c r="D6" i="147" s="1"/>
  <c r="D6" i="141"/>
  <c r="S15" i="140"/>
  <c r="D18" i="140"/>
  <c r="E18" i="140"/>
  <c r="D21" i="140"/>
  <c r="E21" i="140"/>
  <c r="D25" i="140"/>
  <c r="D26" i="140" s="1"/>
  <c r="E25" i="140"/>
  <c r="D29" i="140"/>
  <c r="E29" i="140"/>
  <c r="E30" i="146" s="1"/>
  <c r="D33" i="140"/>
  <c r="E33" i="140"/>
  <c r="D41" i="140"/>
  <c r="D42" i="140" s="1"/>
  <c r="E41" i="140"/>
  <c r="E42" i="140" s="1"/>
  <c r="E46" i="140"/>
  <c r="E54" i="140"/>
  <c r="E58" i="140"/>
  <c r="V10" i="140"/>
  <c r="E6" i="140"/>
  <c r="U4" i="140"/>
  <c r="U3" i="140"/>
  <c r="P33" i="127"/>
  <c r="P36" i="127" s="1"/>
  <c r="P17" i="111"/>
  <c r="P16" i="111"/>
  <c r="P15" i="111"/>
  <c r="P17" i="129"/>
  <c r="P18" i="129" s="1"/>
  <c r="P4" i="128"/>
  <c r="P3" i="128"/>
  <c r="P3" i="129"/>
  <c r="P53" i="126"/>
  <c r="I26" i="126"/>
  <c r="J83" i="126"/>
  <c r="K83" i="126"/>
  <c r="L83" i="126"/>
  <c r="P83" i="126" s="1"/>
  <c r="M83" i="126"/>
  <c r="N83" i="126"/>
  <c r="N86" i="126"/>
  <c r="O83" i="126"/>
  <c r="J84" i="126"/>
  <c r="K84" i="126"/>
  <c r="L84" i="126"/>
  <c r="M84" i="126"/>
  <c r="N84" i="126"/>
  <c r="O84" i="126"/>
  <c r="J85" i="126"/>
  <c r="K85" i="126"/>
  <c r="L85" i="126"/>
  <c r="M85" i="126"/>
  <c r="N85" i="126"/>
  <c r="O85" i="126"/>
  <c r="J78" i="126"/>
  <c r="K78" i="126"/>
  <c r="L78" i="126"/>
  <c r="L81" i="126" s="1"/>
  <c r="M78" i="126"/>
  <c r="N78" i="126"/>
  <c r="O78" i="126"/>
  <c r="J79" i="126"/>
  <c r="K79" i="126"/>
  <c r="P79" i="126" s="1"/>
  <c r="L79" i="126"/>
  <c r="M79" i="126"/>
  <c r="N79" i="126"/>
  <c r="O79" i="126"/>
  <c r="J80" i="126"/>
  <c r="K80" i="126"/>
  <c r="L80" i="126"/>
  <c r="M80" i="126"/>
  <c r="N80" i="126"/>
  <c r="O80" i="126"/>
  <c r="J73" i="126"/>
  <c r="K73" i="126"/>
  <c r="L73" i="126"/>
  <c r="M73" i="126"/>
  <c r="M76" i="126" s="1"/>
  <c r="N73" i="126"/>
  <c r="O73" i="126"/>
  <c r="O76" i="126" s="1"/>
  <c r="J74" i="126"/>
  <c r="K74" i="126"/>
  <c r="L74" i="126"/>
  <c r="M74" i="126"/>
  <c r="N74" i="126"/>
  <c r="O74" i="126"/>
  <c r="J75" i="126"/>
  <c r="K75" i="126"/>
  <c r="P75" i="126" s="1"/>
  <c r="L75" i="126"/>
  <c r="M75" i="126"/>
  <c r="N75" i="126"/>
  <c r="O75" i="126"/>
  <c r="J58" i="126"/>
  <c r="J61" i="126" s="1"/>
  <c r="K58" i="126"/>
  <c r="K61" i="126" s="1"/>
  <c r="L58" i="126"/>
  <c r="M58" i="126"/>
  <c r="N58" i="126"/>
  <c r="O58" i="126"/>
  <c r="J59" i="126"/>
  <c r="K59" i="126"/>
  <c r="L59" i="126"/>
  <c r="M59" i="126"/>
  <c r="N59" i="126"/>
  <c r="O59" i="126"/>
  <c r="O61" i="126"/>
  <c r="J60" i="126"/>
  <c r="K60" i="126"/>
  <c r="L60" i="126"/>
  <c r="M60" i="126"/>
  <c r="N60" i="126"/>
  <c r="O60" i="126"/>
  <c r="J63" i="126"/>
  <c r="J66" i="126"/>
  <c r="K63" i="126"/>
  <c r="L63" i="126"/>
  <c r="M63" i="126"/>
  <c r="N63" i="126"/>
  <c r="O63" i="126"/>
  <c r="O66" i="126" s="1"/>
  <c r="J64" i="126"/>
  <c r="K64" i="126"/>
  <c r="L64" i="126"/>
  <c r="M64" i="126"/>
  <c r="N64" i="126"/>
  <c r="O64" i="126"/>
  <c r="J65" i="126"/>
  <c r="K65" i="126"/>
  <c r="K66" i="126" s="1"/>
  <c r="L65" i="126"/>
  <c r="M65" i="126"/>
  <c r="N65" i="126"/>
  <c r="O65" i="126"/>
  <c r="J68" i="126"/>
  <c r="K68" i="126"/>
  <c r="K71" i="126" s="1"/>
  <c r="L68" i="126"/>
  <c r="L71" i="126"/>
  <c r="M68" i="126"/>
  <c r="N68" i="126"/>
  <c r="O68" i="126"/>
  <c r="J69" i="126"/>
  <c r="K69" i="126"/>
  <c r="L69" i="126"/>
  <c r="M69" i="126"/>
  <c r="N69" i="126"/>
  <c r="N71" i="126" s="1"/>
  <c r="O69" i="126"/>
  <c r="J70" i="126"/>
  <c r="K70" i="126"/>
  <c r="L70" i="126"/>
  <c r="M70" i="126"/>
  <c r="N70" i="126"/>
  <c r="O70" i="126"/>
  <c r="J28" i="126"/>
  <c r="K28" i="126"/>
  <c r="L28" i="126"/>
  <c r="M28" i="126"/>
  <c r="M31" i="126" s="1"/>
  <c r="N28" i="126"/>
  <c r="O28" i="126"/>
  <c r="J29" i="126"/>
  <c r="K29" i="126"/>
  <c r="K31" i="126" s="1"/>
  <c r="L29" i="126"/>
  <c r="M29" i="126"/>
  <c r="N29" i="126"/>
  <c r="O29" i="126"/>
  <c r="O31" i="126" s="1"/>
  <c r="J30" i="126"/>
  <c r="K30" i="126"/>
  <c r="L30" i="126"/>
  <c r="M30" i="126"/>
  <c r="N30" i="126"/>
  <c r="N31" i="126" s="1"/>
  <c r="O30" i="126"/>
  <c r="J33" i="126"/>
  <c r="K33" i="126"/>
  <c r="L33" i="126"/>
  <c r="M33" i="126"/>
  <c r="N33" i="126"/>
  <c r="N36" i="126" s="1"/>
  <c r="O33" i="126"/>
  <c r="J34" i="126"/>
  <c r="K34" i="126"/>
  <c r="L34" i="126"/>
  <c r="M34" i="126"/>
  <c r="M36" i="126" s="1"/>
  <c r="N34" i="126"/>
  <c r="O34" i="126"/>
  <c r="J35" i="126"/>
  <c r="K35" i="126"/>
  <c r="L35" i="126"/>
  <c r="M35" i="126"/>
  <c r="N35" i="126"/>
  <c r="O35" i="126"/>
  <c r="J38" i="126"/>
  <c r="L38" i="126"/>
  <c r="N38" i="126"/>
  <c r="N41" i="126" s="1"/>
  <c r="O38" i="126"/>
  <c r="J39" i="126"/>
  <c r="J41" i="126" s="1"/>
  <c r="K39" i="126"/>
  <c r="L39" i="126"/>
  <c r="M39" i="126"/>
  <c r="N39" i="126"/>
  <c r="O39" i="126"/>
  <c r="J40" i="126"/>
  <c r="K40" i="126"/>
  <c r="L40" i="126"/>
  <c r="M40" i="126"/>
  <c r="N40" i="126"/>
  <c r="O40" i="126"/>
  <c r="L43" i="126"/>
  <c r="N43" i="126"/>
  <c r="N46" i="126" s="1"/>
  <c r="J44" i="126"/>
  <c r="K44" i="126"/>
  <c r="L44" i="126"/>
  <c r="M44" i="126"/>
  <c r="N44" i="126"/>
  <c r="O44" i="126"/>
  <c r="J45" i="126"/>
  <c r="K45" i="126"/>
  <c r="L45" i="126"/>
  <c r="M45" i="126"/>
  <c r="N45" i="126"/>
  <c r="O45" i="126"/>
  <c r="J48" i="126"/>
  <c r="K48" i="126"/>
  <c r="L48" i="126"/>
  <c r="M48" i="126"/>
  <c r="N48" i="126"/>
  <c r="O48" i="126"/>
  <c r="J49" i="126"/>
  <c r="K49" i="126"/>
  <c r="L49" i="126"/>
  <c r="M49" i="126"/>
  <c r="N49" i="126"/>
  <c r="O49" i="126"/>
  <c r="J50" i="126"/>
  <c r="K50" i="126"/>
  <c r="L50" i="126"/>
  <c r="M50" i="126"/>
  <c r="N50" i="126"/>
  <c r="O50" i="126"/>
  <c r="J18" i="126"/>
  <c r="J21" i="126" s="1"/>
  <c r="K18" i="126"/>
  <c r="K21" i="126" s="1"/>
  <c r="L18" i="126"/>
  <c r="M18" i="126"/>
  <c r="N18" i="126"/>
  <c r="O18" i="126"/>
  <c r="J19" i="126"/>
  <c r="K19" i="126"/>
  <c r="L19" i="126"/>
  <c r="M19" i="126"/>
  <c r="M21" i="126" s="1"/>
  <c r="N19" i="126"/>
  <c r="O19" i="126"/>
  <c r="J20" i="126"/>
  <c r="K20" i="126"/>
  <c r="L20" i="126"/>
  <c r="M20" i="126"/>
  <c r="N20" i="126"/>
  <c r="O20" i="126"/>
  <c r="J8" i="126"/>
  <c r="K8" i="126"/>
  <c r="K11" i="126" s="1"/>
  <c r="L8" i="126"/>
  <c r="M8" i="126"/>
  <c r="N8" i="126"/>
  <c r="N11" i="126" s="1"/>
  <c r="N12" i="145" s="1"/>
  <c r="O8" i="126"/>
  <c r="J9" i="126"/>
  <c r="K9" i="126"/>
  <c r="L9" i="126"/>
  <c r="L11" i="126"/>
  <c r="M9" i="126"/>
  <c r="N9" i="126"/>
  <c r="O9" i="126"/>
  <c r="O11" i="126" s="1"/>
  <c r="J10" i="126"/>
  <c r="K10" i="126"/>
  <c r="L10" i="126"/>
  <c r="M10" i="126"/>
  <c r="M11" i="126" s="1"/>
  <c r="N10" i="126"/>
  <c r="O10" i="126"/>
  <c r="O13" i="126"/>
  <c r="O14" i="126"/>
  <c r="N13" i="126"/>
  <c r="N14" i="126"/>
  <c r="O26" i="126"/>
  <c r="O71" i="126"/>
  <c r="N66" i="126"/>
  <c r="M26" i="126"/>
  <c r="K26" i="126"/>
  <c r="K27" i="145" s="1"/>
  <c r="N26" i="126"/>
  <c r="N27" i="145" s="1"/>
  <c r="L26" i="126"/>
  <c r="J26" i="126"/>
  <c r="L66" i="125"/>
  <c r="M13" i="126"/>
  <c r="M14" i="126"/>
  <c r="P11" i="128"/>
  <c r="K71" i="125"/>
  <c r="K72" i="144" s="1"/>
  <c r="L71" i="125"/>
  <c r="M71" i="125"/>
  <c r="M72" i="144" s="1"/>
  <c r="N71" i="125"/>
  <c r="N72" i="144" s="1"/>
  <c r="O71" i="125"/>
  <c r="O72" i="144" s="1"/>
  <c r="K71" i="124"/>
  <c r="K72" i="143" s="1"/>
  <c r="L71" i="124"/>
  <c r="L72" i="143" s="1"/>
  <c r="M71" i="124"/>
  <c r="N71" i="124"/>
  <c r="O71" i="124"/>
  <c r="O72" i="143" s="1"/>
  <c r="K66" i="125"/>
  <c r="D66" i="124"/>
  <c r="D71" i="124"/>
  <c r="K61" i="125"/>
  <c r="L61" i="125"/>
  <c r="M61" i="125"/>
  <c r="M62" i="144" s="1"/>
  <c r="N61" i="125"/>
  <c r="O61" i="125"/>
  <c r="O62" i="125" s="1"/>
  <c r="K61" i="124"/>
  <c r="K62" i="143" s="1"/>
  <c r="L61" i="124"/>
  <c r="M61" i="124"/>
  <c r="M62" i="143" s="1"/>
  <c r="N61" i="124"/>
  <c r="O61" i="124"/>
  <c r="J51" i="124"/>
  <c r="K51" i="124"/>
  <c r="L51" i="124"/>
  <c r="R51" i="124" s="1"/>
  <c r="M51" i="124"/>
  <c r="N51" i="124"/>
  <c r="O51" i="124"/>
  <c r="J31" i="125"/>
  <c r="K31" i="125"/>
  <c r="K32" i="144" s="1"/>
  <c r="L31" i="125"/>
  <c r="M31" i="125"/>
  <c r="N31" i="125"/>
  <c r="N32" i="125" s="1"/>
  <c r="O31" i="125"/>
  <c r="J31" i="124"/>
  <c r="J32" i="143" s="1"/>
  <c r="K31" i="124"/>
  <c r="L31" i="124"/>
  <c r="M31" i="124"/>
  <c r="N31" i="124"/>
  <c r="O31" i="124"/>
  <c r="J26" i="125"/>
  <c r="K26" i="125"/>
  <c r="K27" i="144" s="1"/>
  <c r="L26" i="125"/>
  <c r="M26" i="125"/>
  <c r="M27" i="144" s="1"/>
  <c r="N26" i="125"/>
  <c r="O26" i="125"/>
  <c r="H11" i="125"/>
  <c r="H12" i="144" s="1"/>
  <c r="I11" i="125"/>
  <c r="J11" i="125"/>
  <c r="K11" i="125"/>
  <c r="L11" i="125"/>
  <c r="L12" i="144" s="1"/>
  <c r="M11" i="125"/>
  <c r="N11" i="125"/>
  <c r="O11" i="125"/>
  <c r="H11" i="124"/>
  <c r="I11" i="124"/>
  <c r="J11" i="124"/>
  <c r="J12" i="124" s="1"/>
  <c r="K11" i="124"/>
  <c r="L11" i="124"/>
  <c r="M11" i="124"/>
  <c r="N11" i="124"/>
  <c r="K6" i="125"/>
  <c r="J3" i="126"/>
  <c r="K3" i="126"/>
  <c r="L3" i="126"/>
  <c r="P3" i="126" s="1"/>
  <c r="M3" i="126"/>
  <c r="N3" i="126"/>
  <c r="O3" i="126"/>
  <c r="J4" i="126"/>
  <c r="K4" i="126"/>
  <c r="L4" i="126"/>
  <c r="M4" i="126"/>
  <c r="N4" i="126"/>
  <c r="N6" i="126" s="1"/>
  <c r="O4" i="126"/>
  <c r="J5" i="126"/>
  <c r="K5" i="126"/>
  <c r="L5" i="126"/>
  <c r="M5" i="126"/>
  <c r="N5" i="126"/>
  <c r="O5" i="126"/>
  <c r="I6" i="125"/>
  <c r="I7" i="125" s="1"/>
  <c r="J6" i="125"/>
  <c r="J7" i="144" s="1"/>
  <c r="L6" i="125"/>
  <c r="M6" i="125"/>
  <c r="N6" i="125"/>
  <c r="O6" i="125"/>
  <c r="P3" i="125"/>
  <c r="P4" i="124"/>
  <c r="P5" i="124"/>
  <c r="I6" i="124"/>
  <c r="J6" i="124"/>
  <c r="K6" i="124"/>
  <c r="L6" i="124"/>
  <c r="M6" i="124"/>
  <c r="N6" i="124"/>
  <c r="O6" i="124"/>
  <c r="J6" i="126"/>
  <c r="K56" i="125"/>
  <c r="K57" i="125" s="1"/>
  <c r="K13" i="126"/>
  <c r="L13" i="126"/>
  <c r="J14" i="126"/>
  <c r="K14" i="126"/>
  <c r="L14" i="126"/>
  <c r="L78" i="127"/>
  <c r="L81" i="127" s="1"/>
  <c r="N78" i="127"/>
  <c r="N81" i="127" s="1"/>
  <c r="O79" i="127"/>
  <c r="K80" i="127"/>
  <c r="L80" i="127"/>
  <c r="M80" i="127"/>
  <c r="N80" i="127"/>
  <c r="O80" i="127"/>
  <c r="P35" i="128"/>
  <c r="P37" i="128" s="1"/>
  <c r="P55" i="126"/>
  <c r="P54" i="126"/>
  <c r="J56" i="125"/>
  <c r="J57" i="125" s="1"/>
  <c r="L56" i="125"/>
  <c r="L57" i="125" s="1"/>
  <c r="M56" i="125"/>
  <c r="M57" i="125" s="1"/>
  <c r="N56" i="125"/>
  <c r="N57" i="125"/>
  <c r="J56" i="124"/>
  <c r="K56" i="124"/>
  <c r="L56" i="124"/>
  <c r="M56" i="124"/>
  <c r="N56" i="124"/>
  <c r="P19" i="128"/>
  <c r="P36" i="129"/>
  <c r="P37" i="129" s="1"/>
  <c r="P35" i="129"/>
  <c r="P12" i="129"/>
  <c r="P11" i="129"/>
  <c r="P13" i="129" s="1"/>
  <c r="P14" i="129" s="1"/>
  <c r="K16" i="125"/>
  <c r="L16" i="125"/>
  <c r="M16" i="125"/>
  <c r="N16" i="125"/>
  <c r="N17" i="144" s="1"/>
  <c r="O16" i="125"/>
  <c r="K16" i="124"/>
  <c r="L16" i="124"/>
  <c r="M16" i="124"/>
  <c r="N16" i="124"/>
  <c r="N17" i="143" s="1"/>
  <c r="O16" i="124"/>
  <c r="P15" i="126"/>
  <c r="P7" i="128"/>
  <c r="P7" i="129"/>
  <c r="P9" i="129" s="1"/>
  <c r="P8" i="129"/>
  <c r="P4" i="129"/>
  <c r="K83" i="125"/>
  <c r="K86" i="125" s="1"/>
  <c r="K87" i="125" s="1"/>
  <c r="L83" i="125"/>
  <c r="M83" i="125"/>
  <c r="J84" i="125"/>
  <c r="K84" i="125"/>
  <c r="L84" i="125"/>
  <c r="M84" i="125"/>
  <c r="N84" i="125"/>
  <c r="O84" i="125"/>
  <c r="O86" i="125" s="1"/>
  <c r="J85" i="125"/>
  <c r="K85" i="125"/>
  <c r="L85" i="125"/>
  <c r="M85" i="125"/>
  <c r="N85" i="125"/>
  <c r="O85" i="125"/>
  <c r="J81" i="125"/>
  <c r="J82" i="144" s="1"/>
  <c r="K81" i="125"/>
  <c r="K82" i="144" s="1"/>
  <c r="L81" i="125"/>
  <c r="L82" i="144" s="1"/>
  <c r="M81" i="125"/>
  <c r="M82" i="144" s="1"/>
  <c r="N81" i="125"/>
  <c r="O81" i="125"/>
  <c r="K81" i="124"/>
  <c r="L81" i="124"/>
  <c r="M81" i="124"/>
  <c r="N81" i="124"/>
  <c r="N82" i="143" s="1"/>
  <c r="K83" i="124"/>
  <c r="L83" i="124"/>
  <c r="M83" i="124"/>
  <c r="N83" i="124"/>
  <c r="O83" i="124"/>
  <c r="K84" i="124"/>
  <c r="L84" i="124"/>
  <c r="M84" i="124"/>
  <c r="N84" i="124"/>
  <c r="O84" i="124"/>
  <c r="K85" i="124"/>
  <c r="L85" i="124"/>
  <c r="M85" i="124"/>
  <c r="N85" i="124"/>
  <c r="O85" i="124"/>
  <c r="J76" i="125"/>
  <c r="K76" i="125"/>
  <c r="K77" i="144" s="1"/>
  <c r="L76" i="125"/>
  <c r="M76" i="125"/>
  <c r="M77" i="144" s="1"/>
  <c r="N76" i="125"/>
  <c r="O76" i="125"/>
  <c r="O77" i="144" s="1"/>
  <c r="K76" i="124"/>
  <c r="L76" i="124"/>
  <c r="L77" i="143" s="1"/>
  <c r="M76" i="124"/>
  <c r="N76" i="124"/>
  <c r="O76" i="124"/>
  <c r="J66" i="125"/>
  <c r="J66" i="124"/>
  <c r="J67" i="143" s="1"/>
  <c r="K66" i="124"/>
  <c r="L66" i="124"/>
  <c r="M66" i="124"/>
  <c r="N66" i="124"/>
  <c r="O66" i="124"/>
  <c r="J51" i="125"/>
  <c r="K51" i="125"/>
  <c r="L51" i="125"/>
  <c r="M51" i="125"/>
  <c r="N51" i="125"/>
  <c r="O51" i="125"/>
  <c r="J46" i="125"/>
  <c r="J47" i="144" s="1"/>
  <c r="K46" i="125"/>
  <c r="L46" i="125"/>
  <c r="M46" i="125"/>
  <c r="N46" i="125"/>
  <c r="O46" i="125"/>
  <c r="J46" i="124"/>
  <c r="K46" i="124"/>
  <c r="L46" i="124"/>
  <c r="M46" i="124"/>
  <c r="N46" i="124"/>
  <c r="O46" i="124"/>
  <c r="O47" i="143" s="1"/>
  <c r="J41" i="125"/>
  <c r="K41" i="125"/>
  <c r="L41" i="125"/>
  <c r="M41" i="125"/>
  <c r="N41" i="125"/>
  <c r="N42" i="125" s="1"/>
  <c r="J41" i="124"/>
  <c r="K41" i="124"/>
  <c r="L41" i="124"/>
  <c r="L42" i="143" s="1"/>
  <c r="M41" i="124"/>
  <c r="M42" i="143" s="1"/>
  <c r="N41" i="124"/>
  <c r="O41" i="124"/>
  <c r="O42" i="143" s="1"/>
  <c r="P5" i="129"/>
  <c r="J36" i="125"/>
  <c r="K36" i="125"/>
  <c r="K37" i="144" s="1"/>
  <c r="L36" i="125"/>
  <c r="M36" i="125"/>
  <c r="M37" i="144" s="1"/>
  <c r="N36" i="125"/>
  <c r="N37" i="144" s="1"/>
  <c r="O36" i="125"/>
  <c r="O37" i="144" s="1"/>
  <c r="J36" i="124"/>
  <c r="J37" i="143" s="1"/>
  <c r="K36" i="124"/>
  <c r="K37" i="143" s="1"/>
  <c r="L36" i="124"/>
  <c r="M36" i="124"/>
  <c r="N36" i="124"/>
  <c r="N37" i="143" s="1"/>
  <c r="O36" i="124"/>
  <c r="J21" i="125"/>
  <c r="K21" i="125"/>
  <c r="L21" i="125"/>
  <c r="M21" i="125"/>
  <c r="N21" i="125"/>
  <c r="O21" i="125"/>
  <c r="O22" i="125" s="1"/>
  <c r="I21" i="124"/>
  <c r="J21" i="124"/>
  <c r="K21" i="124"/>
  <c r="L21" i="124"/>
  <c r="M21" i="124"/>
  <c r="N21" i="124"/>
  <c r="O21" i="124"/>
  <c r="I26" i="124"/>
  <c r="I27" i="143" s="1"/>
  <c r="J26" i="124"/>
  <c r="K26" i="124"/>
  <c r="K27" i="143" s="1"/>
  <c r="L26" i="124"/>
  <c r="M26" i="124"/>
  <c r="M27" i="143" s="1"/>
  <c r="N26" i="124"/>
  <c r="O26" i="124"/>
  <c r="H84" i="124"/>
  <c r="I84" i="124"/>
  <c r="J84" i="124"/>
  <c r="H85" i="124"/>
  <c r="I85" i="124"/>
  <c r="J85" i="124"/>
  <c r="H81" i="124"/>
  <c r="I81" i="124"/>
  <c r="J81" i="124"/>
  <c r="I81" i="125"/>
  <c r="H76" i="125"/>
  <c r="I76" i="125"/>
  <c r="I77" i="144" s="1"/>
  <c r="H76" i="124"/>
  <c r="I76" i="124"/>
  <c r="J76" i="124"/>
  <c r="J77" i="143" s="1"/>
  <c r="J71" i="125"/>
  <c r="J72" i="144" s="1"/>
  <c r="H71" i="125"/>
  <c r="H72" i="144" s="1"/>
  <c r="I71" i="125"/>
  <c r="I72" i="144" s="1"/>
  <c r="J71" i="124"/>
  <c r="J72" i="143" s="1"/>
  <c r="H71" i="124"/>
  <c r="H72" i="143" s="1"/>
  <c r="I71" i="124"/>
  <c r="I72" i="143" s="1"/>
  <c r="H66" i="125"/>
  <c r="I66" i="125"/>
  <c r="I67" i="144" s="1"/>
  <c r="H66" i="124"/>
  <c r="I66" i="124"/>
  <c r="H61" i="125"/>
  <c r="I61" i="125"/>
  <c r="J61" i="125"/>
  <c r="J61" i="124"/>
  <c r="H61" i="124"/>
  <c r="I61" i="124"/>
  <c r="I62" i="143" s="1"/>
  <c r="H51" i="125"/>
  <c r="I51" i="125"/>
  <c r="H51" i="124"/>
  <c r="I51" i="124"/>
  <c r="H46" i="125"/>
  <c r="I46" i="125"/>
  <c r="H46" i="124"/>
  <c r="I46" i="124"/>
  <c r="I47" i="143" s="1"/>
  <c r="H41" i="125"/>
  <c r="I41" i="125"/>
  <c r="I42" i="144" s="1"/>
  <c r="H41" i="124"/>
  <c r="H42" i="143" s="1"/>
  <c r="I41" i="124"/>
  <c r="I42" i="143" s="1"/>
  <c r="H36" i="125"/>
  <c r="H37" i="144" s="1"/>
  <c r="I36" i="125"/>
  <c r="I37" i="144" s="1"/>
  <c r="H36" i="124"/>
  <c r="I36" i="124"/>
  <c r="I31" i="125"/>
  <c r="I32" i="144" s="1"/>
  <c r="H26" i="125"/>
  <c r="I26" i="125"/>
  <c r="I27" i="144" s="1"/>
  <c r="H31" i="125"/>
  <c r="I31" i="124"/>
  <c r="H31" i="124"/>
  <c r="H26" i="124"/>
  <c r="H21" i="125"/>
  <c r="I21" i="125"/>
  <c r="H21" i="124"/>
  <c r="H22" i="143" s="1"/>
  <c r="I84" i="125"/>
  <c r="I85" i="125"/>
  <c r="H81" i="125"/>
  <c r="J80" i="127"/>
  <c r="H58" i="126"/>
  <c r="I58" i="126"/>
  <c r="H59" i="126"/>
  <c r="I59" i="126"/>
  <c r="H60" i="126"/>
  <c r="P60" i="126" s="1"/>
  <c r="I60" i="126"/>
  <c r="H63" i="126"/>
  <c r="I63" i="126"/>
  <c r="H64" i="126"/>
  <c r="I64" i="126"/>
  <c r="H65" i="126"/>
  <c r="I65" i="126"/>
  <c r="H68" i="126"/>
  <c r="H71" i="126" s="1"/>
  <c r="I68" i="126"/>
  <c r="H69" i="126"/>
  <c r="I69" i="126"/>
  <c r="H70" i="126"/>
  <c r="I70" i="126"/>
  <c r="H73" i="126"/>
  <c r="I73" i="126"/>
  <c r="H74" i="126"/>
  <c r="I74" i="126"/>
  <c r="H75" i="126"/>
  <c r="I75" i="126"/>
  <c r="H78" i="126"/>
  <c r="I78" i="126"/>
  <c r="H79" i="126"/>
  <c r="I79" i="126"/>
  <c r="I81" i="126" s="1"/>
  <c r="H80" i="126"/>
  <c r="I80" i="126"/>
  <c r="H83" i="126"/>
  <c r="I83" i="126"/>
  <c r="I86" i="126" s="1"/>
  <c r="H84" i="126"/>
  <c r="I84" i="126"/>
  <c r="H85" i="126"/>
  <c r="H86" i="126" s="1"/>
  <c r="I85" i="126"/>
  <c r="H48" i="126"/>
  <c r="I48" i="126"/>
  <c r="H49" i="126"/>
  <c r="I49" i="126"/>
  <c r="H50" i="126"/>
  <c r="I50" i="126"/>
  <c r="H43" i="126"/>
  <c r="I43" i="126"/>
  <c r="H44" i="126"/>
  <c r="I44" i="126"/>
  <c r="H45" i="126"/>
  <c r="I45" i="126"/>
  <c r="H38" i="126"/>
  <c r="H39" i="126"/>
  <c r="I39" i="126"/>
  <c r="H40" i="126"/>
  <c r="I40" i="126"/>
  <c r="H33" i="126"/>
  <c r="I33" i="126"/>
  <c r="I36" i="126" s="1"/>
  <c r="H34" i="126"/>
  <c r="I34" i="126"/>
  <c r="H35" i="126"/>
  <c r="I35" i="126"/>
  <c r="H28" i="126"/>
  <c r="H31" i="126" s="1"/>
  <c r="I28" i="126"/>
  <c r="H29" i="126"/>
  <c r="I29" i="126"/>
  <c r="I31" i="126" s="1"/>
  <c r="H30" i="126"/>
  <c r="I30" i="126"/>
  <c r="I18" i="126"/>
  <c r="I19" i="126"/>
  <c r="I20" i="126"/>
  <c r="P20" i="126" s="1"/>
  <c r="H8" i="126"/>
  <c r="I8" i="126"/>
  <c r="H9" i="126"/>
  <c r="I9" i="126"/>
  <c r="H10" i="126"/>
  <c r="I10" i="126"/>
  <c r="I11" i="126" s="1"/>
  <c r="I3" i="126"/>
  <c r="I4" i="126"/>
  <c r="I5" i="126"/>
  <c r="H56" i="125"/>
  <c r="H57" i="125" s="1"/>
  <c r="I56" i="125"/>
  <c r="I57" i="125" s="1"/>
  <c r="I56" i="124"/>
  <c r="H56" i="124"/>
  <c r="D56" i="124"/>
  <c r="I76" i="126"/>
  <c r="I71" i="126"/>
  <c r="I72" i="126" s="1"/>
  <c r="D19" i="117"/>
  <c r="E19" i="117"/>
  <c r="F19" i="117"/>
  <c r="G19" i="117"/>
  <c r="H19" i="117"/>
  <c r="I19" i="117"/>
  <c r="J19" i="117"/>
  <c r="K19" i="117"/>
  <c r="P19" i="117" s="1"/>
  <c r="L19" i="117"/>
  <c r="M19" i="117"/>
  <c r="N19" i="117"/>
  <c r="O19" i="117"/>
  <c r="P24" i="108"/>
  <c r="E23" i="108"/>
  <c r="F23" i="108"/>
  <c r="G23" i="108"/>
  <c r="H23" i="108"/>
  <c r="I23" i="108"/>
  <c r="J23" i="108"/>
  <c r="K23" i="108"/>
  <c r="L23" i="108"/>
  <c r="M23" i="108"/>
  <c r="N23" i="108"/>
  <c r="O23" i="108"/>
  <c r="O88" i="108" s="1"/>
  <c r="E25" i="108"/>
  <c r="F25" i="108"/>
  <c r="G25" i="108"/>
  <c r="H25" i="108"/>
  <c r="I25" i="108"/>
  <c r="I90" i="108" s="1"/>
  <c r="J25" i="108"/>
  <c r="K25" i="108"/>
  <c r="L25" i="108"/>
  <c r="L90" i="108" s="1"/>
  <c r="M25" i="108"/>
  <c r="N25" i="108"/>
  <c r="O25" i="108"/>
  <c r="D25" i="108"/>
  <c r="D23" i="108"/>
  <c r="E26" i="119"/>
  <c r="F26" i="119"/>
  <c r="G26" i="119"/>
  <c r="H26" i="119"/>
  <c r="I26" i="119"/>
  <c r="J26" i="119"/>
  <c r="K26" i="119"/>
  <c r="L26" i="119"/>
  <c r="M26" i="119"/>
  <c r="N26" i="119"/>
  <c r="O26" i="119"/>
  <c r="D26" i="119"/>
  <c r="P24" i="119"/>
  <c r="P25" i="119"/>
  <c r="P23" i="119"/>
  <c r="P24" i="122"/>
  <c r="P25" i="122"/>
  <c r="P23" i="122"/>
  <c r="P26" i="119"/>
  <c r="J13" i="124"/>
  <c r="J13" i="125"/>
  <c r="J16" i="125" s="1"/>
  <c r="J17" i="144" s="1"/>
  <c r="G83" i="126"/>
  <c r="H84" i="125"/>
  <c r="H85" i="125"/>
  <c r="P4" i="125"/>
  <c r="P6" i="125" s="1"/>
  <c r="D81" i="125"/>
  <c r="E81" i="125"/>
  <c r="F81" i="125"/>
  <c r="F82" i="144" s="1"/>
  <c r="G81" i="125"/>
  <c r="I80" i="127"/>
  <c r="P8" i="128"/>
  <c r="P9" i="128" s="1"/>
  <c r="P12" i="128"/>
  <c r="P13" i="128" s="1"/>
  <c r="P16" i="128"/>
  <c r="P20" i="128"/>
  <c r="P21" i="128" s="1"/>
  <c r="P24" i="128"/>
  <c r="P25" i="128" s="1"/>
  <c r="P27" i="128"/>
  <c r="P28" i="128"/>
  <c r="P29" i="128"/>
  <c r="P20" i="129"/>
  <c r="P24" i="129"/>
  <c r="P28" i="129"/>
  <c r="P32" i="129"/>
  <c r="P39" i="129"/>
  <c r="P43" i="129"/>
  <c r="P44" i="129"/>
  <c r="P52" i="129"/>
  <c r="P56" i="129"/>
  <c r="P57" i="129"/>
  <c r="P5" i="128"/>
  <c r="P45" i="129"/>
  <c r="H18" i="126"/>
  <c r="H19" i="126"/>
  <c r="H20" i="126"/>
  <c r="P24" i="126"/>
  <c r="H26" i="126"/>
  <c r="H14" i="126"/>
  <c r="I14" i="126"/>
  <c r="I13" i="125"/>
  <c r="I13" i="126" s="1"/>
  <c r="H13" i="125"/>
  <c r="H83" i="125"/>
  <c r="I13" i="124"/>
  <c r="H13" i="124"/>
  <c r="H16" i="124"/>
  <c r="H5" i="126"/>
  <c r="H4" i="126"/>
  <c r="H3" i="126"/>
  <c r="H6" i="124"/>
  <c r="I16" i="124"/>
  <c r="I83" i="124"/>
  <c r="H16" i="125"/>
  <c r="H17" i="144" s="1"/>
  <c r="G6" i="125"/>
  <c r="D6" i="125"/>
  <c r="H6" i="125"/>
  <c r="Z4" i="126"/>
  <c r="Z5" i="126"/>
  <c r="Z6" i="126"/>
  <c r="Z7" i="126"/>
  <c r="Z8" i="126"/>
  <c r="Z9" i="126"/>
  <c r="Z10" i="126"/>
  <c r="Z11" i="126"/>
  <c r="Z12" i="126"/>
  <c r="Z13" i="126"/>
  <c r="Z14" i="126"/>
  <c r="Z15" i="126"/>
  <c r="Z16" i="126"/>
  <c r="Z17" i="126"/>
  <c r="Z18" i="126"/>
  <c r="Z19" i="126"/>
  <c r="Z20" i="126"/>
  <c r="Z3" i="126"/>
  <c r="Y9" i="126"/>
  <c r="Y19" i="126"/>
  <c r="Y15" i="126"/>
  <c r="Y12" i="126"/>
  <c r="Y13" i="126"/>
  <c r="Y16" i="126"/>
  <c r="Y11" i="126"/>
  <c r="Y5" i="126"/>
  <c r="Y4" i="126"/>
  <c r="Y3" i="126"/>
  <c r="Y8" i="126"/>
  <c r="Y14" i="126"/>
  <c r="Y6" i="126"/>
  <c r="Y7" i="126"/>
  <c r="Y10" i="126"/>
  <c r="Y18" i="126"/>
  <c r="Y20" i="126"/>
  <c r="Y17" i="126"/>
  <c r="D66" i="125"/>
  <c r="E66" i="125"/>
  <c r="F66" i="125"/>
  <c r="G66" i="125"/>
  <c r="D76" i="125"/>
  <c r="E76" i="125"/>
  <c r="F76" i="125"/>
  <c r="F77" i="144" s="1"/>
  <c r="G76" i="125"/>
  <c r="G77" i="144" s="1"/>
  <c r="T8" i="113"/>
  <c r="T9" i="113"/>
  <c r="T10" i="113"/>
  <c r="T14" i="113"/>
  <c r="T15" i="113"/>
  <c r="T20" i="113"/>
  <c r="T24" i="113"/>
  <c r="T25" i="113"/>
  <c r="T28" i="113"/>
  <c r="T29" i="113"/>
  <c r="T30" i="113"/>
  <c r="T34" i="113"/>
  <c r="T35" i="113"/>
  <c r="T39" i="113"/>
  <c r="T40" i="113"/>
  <c r="T44" i="113"/>
  <c r="T45" i="113"/>
  <c r="T54" i="113"/>
  <c r="T55" i="113"/>
  <c r="T59" i="113"/>
  <c r="T60" i="113"/>
  <c r="T64" i="113"/>
  <c r="T65" i="113"/>
  <c r="T69" i="113"/>
  <c r="T70" i="113"/>
  <c r="T74" i="113"/>
  <c r="T75" i="113"/>
  <c r="T80" i="113"/>
  <c r="R56" i="120"/>
  <c r="T9" i="111"/>
  <c r="T13" i="111"/>
  <c r="T17" i="111"/>
  <c r="T21" i="111"/>
  <c r="T25" i="111"/>
  <c r="T29" i="111"/>
  <c r="T33" i="111"/>
  <c r="T37" i="111"/>
  <c r="T41" i="111"/>
  <c r="T45" i="111"/>
  <c r="T49" i="111"/>
  <c r="T53" i="111"/>
  <c r="T57" i="111"/>
  <c r="T5" i="111"/>
  <c r="R9" i="111"/>
  <c r="R13" i="111"/>
  <c r="R17" i="111"/>
  <c r="R21" i="111"/>
  <c r="R25" i="111"/>
  <c r="R29" i="111"/>
  <c r="R33" i="111"/>
  <c r="R37" i="111"/>
  <c r="R41" i="111"/>
  <c r="R45" i="111"/>
  <c r="R49" i="111"/>
  <c r="R53" i="111"/>
  <c r="R57" i="111"/>
  <c r="R5" i="111"/>
  <c r="R9" i="112"/>
  <c r="R13" i="112"/>
  <c r="R17" i="112"/>
  <c r="R21" i="112"/>
  <c r="R25" i="112"/>
  <c r="R29" i="112"/>
  <c r="R33" i="112"/>
  <c r="R37" i="112"/>
  <c r="R5" i="112"/>
  <c r="G6" i="124"/>
  <c r="G56" i="125"/>
  <c r="G57" i="125" s="1"/>
  <c r="G14" i="126"/>
  <c r="G84" i="124"/>
  <c r="G85" i="124"/>
  <c r="G84" i="125"/>
  <c r="G85" i="125"/>
  <c r="G13" i="125"/>
  <c r="G13" i="124"/>
  <c r="H80" i="127"/>
  <c r="G78" i="127"/>
  <c r="D80" i="127"/>
  <c r="R80" i="127"/>
  <c r="E80" i="127"/>
  <c r="F80" i="127"/>
  <c r="G80" i="127"/>
  <c r="E78" i="127"/>
  <c r="F78" i="127"/>
  <c r="D78" i="127"/>
  <c r="G84" i="126"/>
  <c r="G85" i="126"/>
  <c r="G79" i="126"/>
  <c r="G80" i="126"/>
  <c r="G73" i="126"/>
  <c r="G74" i="126"/>
  <c r="G75" i="126"/>
  <c r="G68" i="126"/>
  <c r="G69" i="126"/>
  <c r="G70" i="126"/>
  <c r="G63" i="126"/>
  <c r="G64" i="126"/>
  <c r="G65" i="126"/>
  <c r="G58" i="126"/>
  <c r="G59" i="126"/>
  <c r="G60" i="126"/>
  <c r="G48" i="126"/>
  <c r="G49" i="126"/>
  <c r="G50" i="126"/>
  <c r="G43" i="126"/>
  <c r="G44" i="126"/>
  <c r="G45" i="126"/>
  <c r="G38" i="126"/>
  <c r="G39" i="126"/>
  <c r="G40" i="126"/>
  <c r="G33" i="126"/>
  <c r="G36" i="126" s="1"/>
  <c r="G34" i="126"/>
  <c r="G35" i="126"/>
  <c r="G28" i="126"/>
  <c r="G29" i="126"/>
  <c r="G30" i="126"/>
  <c r="G18" i="126"/>
  <c r="G19" i="126"/>
  <c r="G21" i="126" s="1"/>
  <c r="G22" i="145" s="1"/>
  <c r="G20" i="126"/>
  <c r="G8" i="126"/>
  <c r="G9" i="126"/>
  <c r="G10" i="126"/>
  <c r="G3" i="126"/>
  <c r="G4" i="126"/>
  <c r="G5" i="126"/>
  <c r="D41" i="125"/>
  <c r="D42" i="125" s="1"/>
  <c r="F31" i="124"/>
  <c r="F32" i="143" s="1"/>
  <c r="G11" i="125"/>
  <c r="G21" i="125"/>
  <c r="G26" i="125"/>
  <c r="G31" i="125"/>
  <c r="G32" i="144" s="1"/>
  <c r="G36" i="125"/>
  <c r="G41" i="125"/>
  <c r="G46" i="125"/>
  <c r="G51" i="125"/>
  <c r="G61" i="125"/>
  <c r="G71" i="125"/>
  <c r="G72" i="144" s="1"/>
  <c r="G11" i="124"/>
  <c r="G21" i="124"/>
  <c r="G26" i="124"/>
  <c r="G27" i="143" s="1"/>
  <c r="G31" i="124"/>
  <c r="G36" i="124"/>
  <c r="G41" i="124"/>
  <c r="G42" i="143" s="1"/>
  <c r="G46" i="124"/>
  <c r="G51" i="124"/>
  <c r="G56" i="124"/>
  <c r="G61" i="124"/>
  <c r="G62" i="143" s="1"/>
  <c r="G66" i="124"/>
  <c r="G71" i="124"/>
  <c r="G72" i="143" s="1"/>
  <c r="G76" i="124"/>
  <c r="G77" i="143" s="1"/>
  <c r="G81" i="124"/>
  <c r="G16" i="124"/>
  <c r="G17" i="143" s="1"/>
  <c r="G83" i="124"/>
  <c r="G13" i="126"/>
  <c r="G26" i="126"/>
  <c r="F85" i="124"/>
  <c r="V14" i="127"/>
  <c r="G78" i="126"/>
  <c r="W10" i="129"/>
  <c r="S50" i="125"/>
  <c r="S49" i="125"/>
  <c r="S48" i="125"/>
  <c r="S49" i="120"/>
  <c r="S50" i="120"/>
  <c r="S48" i="120"/>
  <c r="F83" i="125"/>
  <c r="F84" i="125"/>
  <c r="F85" i="125"/>
  <c r="S30" i="125"/>
  <c r="S29" i="125"/>
  <c r="S28" i="125"/>
  <c r="S25" i="125"/>
  <c r="S24" i="125"/>
  <c r="S23" i="125"/>
  <c r="S19" i="125"/>
  <c r="S20" i="125"/>
  <c r="S18" i="125"/>
  <c r="F6" i="125"/>
  <c r="V4" i="125"/>
  <c r="V5" i="125"/>
  <c r="V3" i="125"/>
  <c r="T49" i="123"/>
  <c r="T50" i="123"/>
  <c r="T48" i="123"/>
  <c r="F21" i="124"/>
  <c r="F22" i="143" s="1"/>
  <c r="E11" i="124"/>
  <c r="F11" i="124"/>
  <c r="F83" i="124"/>
  <c r="F84" i="124"/>
  <c r="F61" i="125"/>
  <c r="E51" i="125"/>
  <c r="F51" i="125"/>
  <c r="F83" i="126"/>
  <c r="F84" i="126"/>
  <c r="F86" i="126" s="1"/>
  <c r="F85" i="126"/>
  <c r="F78" i="126"/>
  <c r="F79" i="126"/>
  <c r="F80" i="126"/>
  <c r="F73" i="126"/>
  <c r="F74" i="126"/>
  <c r="F75" i="126"/>
  <c r="F68" i="126"/>
  <c r="F71" i="126" s="1"/>
  <c r="F69" i="126"/>
  <c r="F70" i="126"/>
  <c r="F63" i="126"/>
  <c r="F64" i="126"/>
  <c r="F65" i="126"/>
  <c r="F66" i="126" s="1"/>
  <c r="F58" i="126"/>
  <c r="F59" i="126"/>
  <c r="F60" i="126"/>
  <c r="F48" i="126"/>
  <c r="F49" i="126"/>
  <c r="F50" i="126"/>
  <c r="F43" i="126"/>
  <c r="F44" i="126"/>
  <c r="F45" i="126"/>
  <c r="F38" i="126"/>
  <c r="F39" i="126"/>
  <c r="F40" i="126"/>
  <c r="F33" i="126"/>
  <c r="F34" i="126"/>
  <c r="F35" i="126"/>
  <c r="F28" i="126"/>
  <c r="F29" i="126"/>
  <c r="F30" i="126"/>
  <c r="P23" i="126"/>
  <c r="F18" i="126"/>
  <c r="F19" i="126"/>
  <c r="F20" i="126"/>
  <c r="F13" i="126"/>
  <c r="F14" i="126"/>
  <c r="F89" i="126" s="1"/>
  <c r="F8" i="126"/>
  <c r="F9" i="126"/>
  <c r="F10" i="126"/>
  <c r="F3" i="126"/>
  <c r="F4" i="126"/>
  <c r="F5" i="126"/>
  <c r="F71" i="125"/>
  <c r="F72" i="144" s="1"/>
  <c r="F56" i="125"/>
  <c r="F57" i="125" s="1"/>
  <c r="F46" i="125"/>
  <c r="F41" i="125"/>
  <c r="F36" i="125"/>
  <c r="F31" i="125"/>
  <c r="F26" i="125"/>
  <c r="F27" i="144" s="1"/>
  <c r="F16" i="125"/>
  <c r="F11" i="125"/>
  <c r="F81" i="124"/>
  <c r="F82" i="143" s="1"/>
  <c r="F76" i="124"/>
  <c r="F71" i="124"/>
  <c r="F66" i="124"/>
  <c r="F67" i="143" s="1"/>
  <c r="F61" i="124"/>
  <c r="F56" i="124"/>
  <c r="F51" i="124"/>
  <c r="F46" i="124"/>
  <c r="F47" i="124" s="1"/>
  <c r="F41" i="124"/>
  <c r="F36" i="124"/>
  <c r="F37" i="143" s="1"/>
  <c r="F26" i="124"/>
  <c r="F16" i="124"/>
  <c r="F6" i="124"/>
  <c r="F26" i="126"/>
  <c r="F41" i="126"/>
  <c r="E84" i="125"/>
  <c r="D84" i="125"/>
  <c r="D83" i="125"/>
  <c r="S79" i="120"/>
  <c r="S80" i="120"/>
  <c r="S78" i="120"/>
  <c r="E83" i="125"/>
  <c r="E11" i="125"/>
  <c r="E83" i="124"/>
  <c r="P15" i="129"/>
  <c r="E41" i="128"/>
  <c r="E30" i="140"/>
  <c r="P16" i="129"/>
  <c r="P31" i="129"/>
  <c r="P33" i="129" s="1"/>
  <c r="E51" i="124"/>
  <c r="D51" i="124"/>
  <c r="D83" i="124"/>
  <c r="D6" i="123"/>
  <c r="D7" i="123" s="1"/>
  <c r="E6" i="123"/>
  <c r="F6" i="123"/>
  <c r="D11" i="123"/>
  <c r="E11" i="123"/>
  <c r="E12" i="123" s="1"/>
  <c r="F11" i="123"/>
  <c r="F12" i="123" s="1"/>
  <c r="P4" i="122"/>
  <c r="P5" i="122"/>
  <c r="P3" i="122"/>
  <c r="E6" i="122"/>
  <c r="E7" i="123" s="1"/>
  <c r="F6" i="122"/>
  <c r="G6" i="122"/>
  <c r="H6" i="122"/>
  <c r="I6" i="122"/>
  <c r="J6" i="122"/>
  <c r="K6" i="122"/>
  <c r="L6" i="122"/>
  <c r="M6" i="122"/>
  <c r="N6" i="122"/>
  <c r="O6" i="122"/>
  <c r="D6" i="122"/>
  <c r="L6" i="123"/>
  <c r="L7" i="124" s="1"/>
  <c r="T4" i="123"/>
  <c r="D12" i="123"/>
  <c r="P23" i="128"/>
  <c r="P27" i="129"/>
  <c r="D31" i="124"/>
  <c r="P3" i="123"/>
  <c r="P13" i="123"/>
  <c r="P10" i="123"/>
  <c r="P8" i="123"/>
  <c r="P4" i="123"/>
  <c r="P5" i="123"/>
  <c r="E83" i="126"/>
  <c r="E84" i="126"/>
  <c r="E85" i="126"/>
  <c r="E78" i="126"/>
  <c r="E79" i="126"/>
  <c r="E81" i="126" s="1"/>
  <c r="E80" i="126"/>
  <c r="E73" i="126"/>
  <c r="E74" i="126"/>
  <c r="E75" i="126"/>
  <c r="E68" i="126"/>
  <c r="E71" i="126" s="1"/>
  <c r="E69" i="126"/>
  <c r="E70" i="126"/>
  <c r="E63" i="126"/>
  <c r="E66" i="126" s="1"/>
  <c r="E64" i="126"/>
  <c r="E65" i="126"/>
  <c r="E58" i="126"/>
  <c r="E59" i="126"/>
  <c r="E60" i="126"/>
  <c r="E48" i="126"/>
  <c r="E49" i="126"/>
  <c r="E50" i="126"/>
  <c r="E43" i="126"/>
  <c r="E46" i="126" s="1"/>
  <c r="E44" i="126"/>
  <c r="E45" i="126"/>
  <c r="E38" i="126"/>
  <c r="E39" i="126"/>
  <c r="E40" i="126"/>
  <c r="E33" i="126"/>
  <c r="E34" i="126"/>
  <c r="E35" i="126"/>
  <c r="E28" i="126"/>
  <c r="E29" i="126"/>
  <c r="E30" i="126"/>
  <c r="E18" i="126"/>
  <c r="E19" i="126"/>
  <c r="E20" i="126"/>
  <c r="E13" i="126"/>
  <c r="E14" i="126"/>
  <c r="E8" i="126"/>
  <c r="E9" i="126"/>
  <c r="E10" i="126"/>
  <c r="E3" i="126"/>
  <c r="E4" i="126"/>
  <c r="E5" i="126"/>
  <c r="E84" i="124"/>
  <c r="E85" i="124"/>
  <c r="E81" i="124"/>
  <c r="E76" i="124"/>
  <c r="E71" i="124"/>
  <c r="E72" i="143" s="1"/>
  <c r="E66" i="124"/>
  <c r="E61" i="124"/>
  <c r="E62" i="143" s="1"/>
  <c r="E56" i="124"/>
  <c r="E46" i="124"/>
  <c r="E41" i="124"/>
  <c r="E42" i="143" s="1"/>
  <c r="E36" i="124"/>
  <c r="E31" i="124"/>
  <c r="E26" i="124"/>
  <c r="E27" i="143" s="1"/>
  <c r="E21" i="124"/>
  <c r="E16" i="124"/>
  <c r="E17" i="143" s="1"/>
  <c r="E6" i="124"/>
  <c r="E7" i="143" s="1"/>
  <c r="E85" i="125"/>
  <c r="E71" i="125"/>
  <c r="E72" i="144" s="1"/>
  <c r="D71" i="125"/>
  <c r="E61" i="125"/>
  <c r="E62" i="144" s="1"/>
  <c r="D61" i="125"/>
  <c r="E56" i="125"/>
  <c r="E57" i="144"/>
  <c r="D56" i="125"/>
  <c r="D51" i="125"/>
  <c r="D52" i="125" s="1"/>
  <c r="E46" i="125"/>
  <c r="D46" i="125"/>
  <c r="E41" i="125"/>
  <c r="E36" i="125"/>
  <c r="D36" i="125"/>
  <c r="E31" i="125"/>
  <c r="E32" i="144" s="1"/>
  <c r="D31" i="125"/>
  <c r="E26" i="125"/>
  <c r="D26" i="125"/>
  <c r="D21" i="125"/>
  <c r="D11" i="125"/>
  <c r="E16" i="125"/>
  <c r="E17" i="144" s="1"/>
  <c r="D16" i="125"/>
  <c r="E6" i="125"/>
  <c r="E7" i="144" s="1"/>
  <c r="D57" i="125"/>
  <c r="E11" i="126"/>
  <c r="E12" i="126" s="1"/>
  <c r="E26" i="126"/>
  <c r="O85" i="123"/>
  <c r="D83" i="123"/>
  <c r="D84" i="122"/>
  <c r="D83" i="122"/>
  <c r="D86" i="122" s="1"/>
  <c r="O85" i="119"/>
  <c r="N85" i="119"/>
  <c r="M85" i="119"/>
  <c r="L85" i="119"/>
  <c r="K85" i="119"/>
  <c r="J85" i="119"/>
  <c r="I85" i="119"/>
  <c r="H85" i="119"/>
  <c r="G85" i="119"/>
  <c r="F85" i="119"/>
  <c r="E85" i="119"/>
  <c r="D85" i="119"/>
  <c r="O84" i="119"/>
  <c r="N84" i="119"/>
  <c r="M84" i="119"/>
  <c r="L84" i="119"/>
  <c r="K84" i="119"/>
  <c r="J84" i="119"/>
  <c r="J86" i="119" s="1"/>
  <c r="I84" i="119"/>
  <c r="H84" i="119"/>
  <c r="G84" i="119"/>
  <c r="G86" i="119" s="1"/>
  <c r="F84" i="119"/>
  <c r="E84" i="119"/>
  <c r="D84" i="119"/>
  <c r="O83" i="119"/>
  <c r="N83" i="119"/>
  <c r="N86" i="119" s="1"/>
  <c r="M83" i="119"/>
  <c r="L83" i="119"/>
  <c r="K83" i="119"/>
  <c r="K86" i="119" s="1"/>
  <c r="J83" i="119"/>
  <c r="I83" i="119"/>
  <c r="I86" i="119" s="1"/>
  <c r="H83" i="119"/>
  <c r="H86" i="119" s="1"/>
  <c r="G83" i="119"/>
  <c r="F83" i="119"/>
  <c r="E83" i="119"/>
  <c r="D83" i="119"/>
  <c r="D86" i="119"/>
  <c r="D84" i="120"/>
  <c r="E84" i="120"/>
  <c r="F84" i="120"/>
  <c r="G84" i="120"/>
  <c r="H84" i="120"/>
  <c r="I84" i="120"/>
  <c r="J84" i="120"/>
  <c r="K84" i="120"/>
  <c r="L84" i="120"/>
  <c r="M84" i="120"/>
  <c r="N84" i="120"/>
  <c r="O84" i="120"/>
  <c r="D85" i="120"/>
  <c r="E85" i="120"/>
  <c r="F85" i="120"/>
  <c r="G85" i="120"/>
  <c r="H85" i="120"/>
  <c r="I85" i="120"/>
  <c r="J85" i="120"/>
  <c r="K85" i="120"/>
  <c r="L85" i="120"/>
  <c r="M85" i="120"/>
  <c r="N85" i="120"/>
  <c r="O85" i="120"/>
  <c r="E83" i="120"/>
  <c r="E86" i="120" s="1"/>
  <c r="F83" i="120"/>
  <c r="G83" i="120"/>
  <c r="H83" i="120"/>
  <c r="I83" i="120"/>
  <c r="J83" i="120"/>
  <c r="K83" i="120"/>
  <c r="K86" i="120"/>
  <c r="L83" i="120"/>
  <c r="M83" i="120"/>
  <c r="N83" i="120"/>
  <c r="O83" i="120"/>
  <c r="D83" i="120"/>
  <c r="D85" i="125"/>
  <c r="D21" i="124"/>
  <c r="D84" i="124"/>
  <c r="D85" i="124"/>
  <c r="E86" i="119"/>
  <c r="M86" i="119"/>
  <c r="O86" i="119"/>
  <c r="D84" i="123"/>
  <c r="E84" i="123"/>
  <c r="F84" i="123"/>
  <c r="G84" i="123"/>
  <c r="H84" i="123"/>
  <c r="I84" i="123"/>
  <c r="J84" i="123"/>
  <c r="K84" i="123"/>
  <c r="L84" i="123"/>
  <c r="M84" i="123"/>
  <c r="N84" i="123"/>
  <c r="O84" i="123"/>
  <c r="D85" i="123"/>
  <c r="E85" i="123"/>
  <c r="F85" i="123"/>
  <c r="G85" i="123"/>
  <c r="H85" i="123"/>
  <c r="I85" i="123"/>
  <c r="J85" i="123"/>
  <c r="K85" i="123"/>
  <c r="L85" i="123"/>
  <c r="M85" i="123"/>
  <c r="N85" i="123"/>
  <c r="E83" i="123"/>
  <c r="F83" i="123"/>
  <c r="G83" i="123"/>
  <c r="H83" i="123"/>
  <c r="I83" i="123"/>
  <c r="J83" i="123"/>
  <c r="K83" i="123"/>
  <c r="L83" i="123"/>
  <c r="M83" i="123"/>
  <c r="N83" i="123"/>
  <c r="O83" i="123"/>
  <c r="D49" i="126"/>
  <c r="D50" i="126"/>
  <c r="D48" i="126"/>
  <c r="D49" i="117"/>
  <c r="E49" i="117"/>
  <c r="F49" i="117"/>
  <c r="G49" i="117"/>
  <c r="H49" i="117"/>
  <c r="I49" i="117"/>
  <c r="J49" i="117"/>
  <c r="K49" i="117"/>
  <c r="L49" i="117"/>
  <c r="M49" i="117"/>
  <c r="N49" i="117"/>
  <c r="O49" i="117"/>
  <c r="D50" i="117"/>
  <c r="E50" i="117"/>
  <c r="F50" i="117"/>
  <c r="G50" i="117"/>
  <c r="H50" i="117"/>
  <c r="I50" i="117"/>
  <c r="J50" i="117"/>
  <c r="K50" i="117"/>
  <c r="L50" i="117"/>
  <c r="M50" i="117"/>
  <c r="N50" i="117"/>
  <c r="O50" i="117"/>
  <c r="E48" i="117"/>
  <c r="F48" i="117"/>
  <c r="G48" i="117"/>
  <c r="H48" i="117"/>
  <c r="I48" i="117"/>
  <c r="J48" i="117"/>
  <c r="K48" i="117"/>
  <c r="L48" i="117"/>
  <c r="M48" i="117"/>
  <c r="N48" i="117"/>
  <c r="O48" i="117"/>
  <c r="D48" i="117"/>
  <c r="D49" i="108"/>
  <c r="E49" i="108"/>
  <c r="E89" i="108"/>
  <c r="F49" i="108"/>
  <c r="F89" i="108"/>
  <c r="G49" i="108"/>
  <c r="H49" i="108"/>
  <c r="H89" i="108" s="1"/>
  <c r="I49" i="108"/>
  <c r="J49" i="108"/>
  <c r="J89" i="108" s="1"/>
  <c r="K49" i="108"/>
  <c r="K89" i="108" s="1"/>
  <c r="L49" i="108"/>
  <c r="L89" i="108" s="1"/>
  <c r="M49" i="108"/>
  <c r="M89" i="108" s="1"/>
  <c r="N49" i="108"/>
  <c r="N89" i="108" s="1"/>
  <c r="O49" i="108"/>
  <c r="D50" i="108"/>
  <c r="D90" i="108" s="1"/>
  <c r="E50" i="108"/>
  <c r="E90" i="108"/>
  <c r="F50" i="108"/>
  <c r="G50" i="108"/>
  <c r="G90" i="108" s="1"/>
  <c r="H50" i="108"/>
  <c r="H90" i="108"/>
  <c r="I50" i="108"/>
  <c r="J50" i="108"/>
  <c r="J90" i="108" s="1"/>
  <c r="K50" i="108"/>
  <c r="K90" i="108"/>
  <c r="L50" i="108"/>
  <c r="M50" i="108"/>
  <c r="M90" i="108" s="1"/>
  <c r="N50" i="108"/>
  <c r="O50" i="108"/>
  <c r="O90" i="108"/>
  <c r="E48" i="108"/>
  <c r="F48" i="108"/>
  <c r="F88" i="108"/>
  <c r="G48" i="108"/>
  <c r="H48" i="108"/>
  <c r="I48" i="108"/>
  <c r="J48" i="108"/>
  <c r="J88" i="108" s="1"/>
  <c r="K48" i="108"/>
  <c r="L48" i="108"/>
  <c r="L88" i="108" s="1"/>
  <c r="M48" i="108"/>
  <c r="N48" i="108"/>
  <c r="O48" i="108"/>
  <c r="D48" i="108"/>
  <c r="E51" i="120"/>
  <c r="F51" i="120"/>
  <c r="F52" i="125" s="1"/>
  <c r="G51" i="120"/>
  <c r="G52" i="125"/>
  <c r="H51" i="120"/>
  <c r="I51" i="120"/>
  <c r="I52" i="125" s="1"/>
  <c r="J51" i="120"/>
  <c r="J52" i="120" s="1"/>
  <c r="K51" i="120"/>
  <c r="L51" i="120"/>
  <c r="M51" i="120"/>
  <c r="M52" i="125" s="1"/>
  <c r="N51" i="120"/>
  <c r="N52" i="125" s="1"/>
  <c r="O51" i="120"/>
  <c r="O52" i="125" s="1"/>
  <c r="D51" i="120"/>
  <c r="P50" i="120"/>
  <c r="P49" i="120"/>
  <c r="P48" i="120"/>
  <c r="P49" i="119"/>
  <c r="P50" i="119"/>
  <c r="P85" i="119" s="1"/>
  <c r="P48" i="119"/>
  <c r="P83" i="119" s="1"/>
  <c r="E51" i="119"/>
  <c r="F51" i="119"/>
  <c r="G51" i="119"/>
  <c r="G52" i="120" s="1"/>
  <c r="H51" i="119"/>
  <c r="H52" i="120" s="1"/>
  <c r="I51" i="119"/>
  <c r="J51" i="119"/>
  <c r="K51" i="119"/>
  <c r="L51" i="119"/>
  <c r="M51" i="119"/>
  <c r="N51" i="119"/>
  <c r="O51" i="119"/>
  <c r="O52" i="120" s="1"/>
  <c r="D51" i="119"/>
  <c r="O51" i="123"/>
  <c r="O52" i="123" s="1"/>
  <c r="N51" i="123"/>
  <c r="N52" i="124"/>
  <c r="M51" i="123"/>
  <c r="M52" i="123" s="1"/>
  <c r="L51" i="123"/>
  <c r="L52" i="123"/>
  <c r="K51" i="123"/>
  <c r="K52" i="123" s="1"/>
  <c r="J51" i="123"/>
  <c r="J52" i="124"/>
  <c r="I51" i="123"/>
  <c r="I52" i="123" s="1"/>
  <c r="H51" i="123"/>
  <c r="G51" i="123"/>
  <c r="F51" i="123"/>
  <c r="F52" i="123" s="1"/>
  <c r="E51" i="123"/>
  <c r="E52" i="123" s="1"/>
  <c r="D51" i="123"/>
  <c r="D52" i="123" s="1"/>
  <c r="P50" i="123"/>
  <c r="P49" i="123"/>
  <c r="P48" i="123"/>
  <c r="E51" i="122"/>
  <c r="F51" i="122"/>
  <c r="G51" i="122"/>
  <c r="H51" i="122"/>
  <c r="I51" i="122"/>
  <c r="J51" i="122"/>
  <c r="K51" i="122"/>
  <c r="L51" i="122"/>
  <c r="M51" i="122"/>
  <c r="N51" i="122"/>
  <c r="O51" i="122"/>
  <c r="D51" i="122"/>
  <c r="P49" i="122"/>
  <c r="P84" i="122" s="1"/>
  <c r="P50" i="122"/>
  <c r="P85" i="122" s="1"/>
  <c r="P48" i="122"/>
  <c r="E84" i="122"/>
  <c r="E86" i="122" s="1"/>
  <c r="F84" i="122"/>
  <c r="G84" i="122"/>
  <c r="H84" i="122"/>
  <c r="I84" i="122"/>
  <c r="J84" i="122"/>
  <c r="K84" i="122"/>
  <c r="L84" i="122"/>
  <c r="M84" i="122"/>
  <c r="N84" i="122"/>
  <c r="O84" i="122"/>
  <c r="D85" i="122"/>
  <c r="E85" i="122"/>
  <c r="F85" i="122"/>
  <c r="G85" i="122"/>
  <c r="H85" i="122"/>
  <c r="H86" i="122" s="1"/>
  <c r="I85" i="122"/>
  <c r="J85" i="122"/>
  <c r="K85" i="122"/>
  <c r="L85" i="122"/>
  <c r="M85" i="122"/>
  <c r="N85" i="122"/>
  <c r="O85" i="122"/>
  <c r="E83" i="122"/>
  <c r="F83" i="122"/>
  <c r="G83" i="122"/>
  <c r="H83" i="122"/>
  <c r="I83" i="122"/>
  <c r="J83" i="122"/>
  <c r="K83" i="122"/>
  <c r="L83" i="122"/>
  <c r="M83" i="122"/>
  <c r="N83" i="122"/>
  <c r="O83" i="122"/>
  <c r="O86" i="122" s="1"/>
  <c r="N52" i="120"/>
  <c r="F52" i="120"/>
  <c r="I52" i="120"/>
  <c r="O51" i="108"/>
  <c r="O91" i="108" s="1"/>
  <c r="G51" i="108"/>
  <c r="H51" i="108"/>
  <c r="G89" i="108"/>
  <c r="H88" i="108"/>
  <c r="P5" i="111"/>
  <c r="D40" i="112"/>
  <c r="O79" i="113"/>
  <c r="N79" i="113"/>
  <c r="M79" i="113"/>
  <c r="L79" i="113"/>
  <c r="L81" i="113" s="1"/>
  <c r="K79" i="113"/>
  <c r="K81" i="113"/>
  <c r="K82" i="113" s="1"/>
  <c r="J79" i="113"/>
  <c r="I79" i="113"/>
  <c r="H79" i="113"/>
  <c r="H81" i="113" s="1"/>
  <c r="G79" i="113"/>
  <c r="F79" i="113"/>
  <c r="E79" i="113"/>
  <c r="D79" i="113"/>
  <c r="O78" i="113"/>
  <c r="O81" i="113" s="1"/>
  <c r="O82" i="113" s="1"/>
  <c r="N78" i="113"/>
  <c r="M78" i="113"/>
  <c r="M81" i="113"/>
  <c r="M82" i="113" s="1"/>
  <c r="J78" i="113"/>
  <c r="I78" i="113"/>
  <c r="G78" i="113"/>
  <c r="F78" i="113"/>
  <c r="E78" i="113"/>
  <c r="E81" i="113" s="1"/>
  <c r="E82" i="113" s="1"/>
  <c r="D78" i="113"/>
  <c r="O73" i="113"/>
  <c r="O76" i="113" s="1"/>
  <c r="N73" i="113"/>
  <c r="M73" i="113"/>
  <c r="L73" i="113"/>
  <c r="L76" i="113"/>
  <c r="K73" i="113"/>
  <c r="J73" i="113"/>
  <c r="J78" i="117" s="1"/>
  <c r="O66" i="113"/>
  <c r="O67" i="113" s="1"/>
  <c r="O67" i="127"/>
  <c r="N66" i="113"/>
  <c r="H66" i="113"/>
  <c r="H67" i="127" s="1"/>
  <c r="G66" i="113"/>
  <c r="G67" i="127"/>
  <c r="M63" i="113"/>
  <c r="M66" i="113" s="1"/>
  <c r="M67" i="127" s="1"/>
  <c r="L63" i="113"/>
  <c r="L66" i="113" s="1"/>
  <c r="K63" i="113"/>
  <c r="J63" i="113"/>
  <c r="I63" i="113"/>
  <c r="I66" i="113" s="1"/>
  <c r="I67" i="127" s="1"/>
  <c r="F63" i="113"/>
  <c r="F66" i="113" s="1"/>
  <c r="E63" i="113"/>
  <c r="E66" i="113" s="1"/>
  <c r="D63" i="113"/>
  <c r="O58" i="113"/>
  <c r="O61" i="113" s="1"/>
  <c r="N58" i="113"/>
  <c r="N61" i="113" s="1"/>
  <c r="N62" i="127" s="1"/>
  <c r="M58" i="113"/>
  <c r="L58" i="113"/>
  <c r="L61" i="113"/>
  <c r="L62" i="113" s="1"/>
  <c r="K58" i="113"/>
  <c r="K61" i="113" s="1"/>
  <c r="K62" i="113" s="1"/>
  <c r="J58" i="113"/>
  <c r="J61" i="113"/>
  <c r="J62" i="127" s="1"/>
  <c r="I58" i="113"/>
  <c r="I68" i="117" s="1"/>
  <c r="H58" i="113"/>
  <c r="H61" i="113" s="1"/>
  <c r="G58" i="113"/>
  <c r="G61" i="113" s="1"/>
  <c r="F58" i="113"/>
  <c r="F61" i="113" s="1"/>
  <c r="F62" i="113" s="1"/>
  <c r="E58" i="113"/>
  <c r="E61" i="113"/>
  <c r="D58" i="113"/>
  <c r="O53" i="113"/>
  <c r="O56" i="113" s="1"/>
  <c r="N53" i="113"/>
  <c r="N56" i="113" s="1"/>
  <c r="M53" i="113"/>
  <c r="M56" i="113" s="1"/>
  <c r="L53" i="113"/>
  <c r="K53" i="113"/>
  <c r="K63" i="117" s="1"/>
  <c r="J53" i="113"/>
  <c r="J56" i="113"/>
  <c r="J57" i="127" s="1"/>
  <c r="O51" i="113"/>
  <c r="O52" i="127"/>
  <c r="N51" i="113"/>
  <c r="N52" i="113"/>
  <c r="M51" i="113"/>
  <c r="M52" i="113" s="1"/>
  <c r="I51" i="113"/>
  <c r="I52" i="127"/>
  <c r="H51" i="113"/>
  <c r="H52" i="113"/>
  <c r="G51" i="113"/>
  <c r="G52" i="127"/>
  <c r="F51" i="113"/>
  <c r="E51" i="113"/>
  <c r="E52" i="113" s="1"/>
  <c r="O43" i="113"/>
  <c r="O43" i="117" s="1"/>
  <c r="N43" i="113"/>
  <c r="N46" i="113" s="1"/>
  <c r="M43" i="113"/>
  <c r="M46" i="113" s="1"/>
  <c r="M47" i="113" s="1"/>
  <c r="L43" i="113"/>
  <c r="L46" i="113" s="1"/>
  <c r="L47" i="113" s="1"/>
  <c r="K43" i="113"/>
  <c r="J43" i="113"/>
  <c r="J46" i="113" s="1"/>
  <c r="E41" i="113"/>
  <c r="E42" i="127" s="1"/>
  <c r="O38" i="113"/>
  <c r="N38" i="113"/>
  <c r="N41" i="113" s="1"/>
  <c r="M38" i="113"/>
  <c r="M41" i="113" s="1"/>
  <c r="L38" i="113"/>
  <c r="L38" i="117" s="1"/>
  <c r="K38" i="113"/>
  <c r="J38" i="113"/>
  <c r="J41" i="113" s="1"/>
  <c r="O33" i="113"/>
  <c r="O33" i="117" s="1"/>
  <c r="N33" i="113"/>
  <c r="M33" i="113"/>
  <c r="M36" i="113" s="1"/>
  <c r="M37" i="113" s="1"/>
  <c r="L33" i="113"/>
  <c r="K33" i="113"/>
  <c r="K36" i="113"/>
  <c r="J33" i="113"/>
  <c r="J36" i="113" s="1"/>
  <c r="J37" i="113" s="1"/>
  <c r="I33" i="113"/>
  <c r="I36" i="113" s="1"/>
  <c r="H33" i="113"/>
  <c r="H33" i="117" s="1"/>
  <c r="G33" i="113"/>
  <c r="G36" i="113" s="1"/>
  <c r="G37" i="113" s="1"/>
  <c r="F33" i="113"/>
  <c r="F36" i="113"/>
  <c r="F37" i="113" s="1"/>
  <c r="E33" i="113"/>
  <c r="E36" i="113" s="1"/>
  <c r="E37" i="113" s="1"/>
  <c r="D33" i="113"/>
  <c r="N31" i="113"/>
  <c r="N32" i="113" s="1"/>
  <c r="N32" i="127"/>
  <c r="M31" i="113"/>
  <c r="M32" i="113" s="1"/>
  <c r="L31" i="113"/>
  <c r="K31" i="113"/>
  <c r="J31" i="113"/>
  <c r="J32" i="113" s="1"/>
  <c r="I31" i="113"/>
  <c r="H31" i="113"/>
  <c r="H32" i="113" s="1"/>
  <c r="G31" i="113"/>
  <c r="F31" i="113"/>
  <c r="F32" i="127"/>
  <c r="E31" i="113"/>
  <c r="E32" i="113" s="1"/>
  <c r="D31" i="113"/>
  <c r="O28" i="113"/>
  <c r="O31" i="113" s="1"/>
  <c r="O23" i="113"/>
  <c r="N23" i="113"/>
  <c r="N28" i="117" s="1"/>
  <c r="M23" i="113"/>
  <c r="M26" i="113"/>
  <c r="L23" i="113"/>
  <c r="L28" i="117" s="1"/>
  <c r="K23" i="113"/>
  <c r="K28" i="117" s="1"/>
  <c r="J23" i="113"/>
  <c r="J28" i="117" s="1"/>
  <c r="O19" i="113"/>
  <c r="N19" i="113"/>
  <c r="M19" i="113"/>
  <c r="K19" i="113"/>
  <c r="J19" i="113"/>
  <c r="I19" i="113"/>
  <c r="H19" i="113"/>
  <c r="H21" i="113" s="1"/>
  <c r="G19" i="113"/>
  <c r="F19" i="113"/>
  <c r="E19" i="113"/>
  <c r="T19" i="113" s="1"/>
  <c r="O18" i="113"/>
  <c r="O21" i="113" s="1"/>
  <c r="N18" i="113"/>
  <c r="N21" i="113" s="1"/>
  <c r="M18" i="113"/>
  <c r="L18" i="113"/>
  <c r="L21" i="113" s="1"/>
  <c r="L22" i="127" s="1"/>
  <c r="K18" i="113"/>
  <c r="K21" i="113" s="1"/>
  <c r="J18" i="113"/>
  <c r="I18" i="113"/>
  <c r="I21" i="113" s="1"/>
  <c r="I22" i="127" s="1"/>
  <c r="H18" i="113"/>
  <c r="G18" i="113"/>
  <c r="F18" i="113"/>
  <c r="F21" i="113" s="1"/>
  <c r="E18" i="113"/>
  <c r="D18" i="113"/>
  <c r="O13" i="113"/>
  <c r="O16" i="113" s="1"/>
  <c r="O17" i="127" s="1"/>
  <c r="N13" i="113"/>
  <c r="N16" i="113" s="1"/>
  <c r="N17" i="127" s="1"/>
  <c r="M13" i="113"/>
  <c r="M16" i="113" s="1"/>
  <c r="L13" i="113"/>
  <c r="K13" i="113"/>
  <c r="K16" i="113" s="1"/>
  <c r="J13" i="113"/>
  <c r="J16" i="113"/>
  <c r="I13" i="113"/>
  <c r="I16" i="113" s="1"/>
  <c r="H13" i="113"/>
  <c r="G13" i="113"/>
  <c r="G16" i="113"/>
  <c r="F13" i="113"/>
  <c r="F16" i="113" s="1"/>
  <c r="F17" i="113" s="1"/>
  <c r="E13" i="113"/>
  <c r="E16" i="113"/>
  <c r="E17" i="113" s="1"/>
  <c r="D13" i="113"/>
  <c r="N11" i="113"/>
  <c r="N12" i="127" s="1"/>
  <c r="M11" i="113"/>
  <c r="M12" i="113" s="1"/>
  <c r="L11" i="113"/>
  <c r="L12" i="127" s="1"/>
  <c r="O11" i="113"/>
  <c r="O12" i="127"/>
  <c r="K11" i="113"/>
  <c r="K12" i="127"/>
  <c r="J11" i="113"/>
  <c r="J12" i="127"/>
  <c r="I11" i="113"/>
  <c r="H11" i="113"/>
  <c r="H12" i="127" s="1"/>
  <c r="G11" i="113"/>
  <c r="G12" i="113" s="1"/>
  <c r="G12" i="127"/>
  <c r="F11" i="113"/>
  <c r="F12" i="127" s="1"/>
  <c r="E11" i="113"/>
  <c r="D11" i="113"/>
  <c r="M5" i="113"/>
  <c r="L5" i="113"/>
  <c r="F5" i="113"/>
  <c r="D5" i="113"/>
  <c r="O4" i="113"/>
  <c r="N4" i="113"/>
  <c r="N6" i="113" s="1"/>
  <c r="N7" i="127" s="1"/>
  <c r="M4" i="113"/>
  <c r="L4" i="113"/>
  <c r="K4" i="113"/>
  <c r="J4" i="113"/>
  <c r="I4" i="113"/>
  <c r="H4" i="113"/>
  <c r="G4" i="113"/>
  <c r="F4" i="113"/>
  <c r="E4" i="113"/>
  <c r="D4" i="113"/>
  <c r="O3" i="113"/>
  <c r="N3" i="113"/>
  <c r="M3" i="113"/>
  <c r="M3" i="117" s="1"/>
  <c r="L3" i="113"/>
  <c r="L6" i="113" s="1"/>
  <c r="K3" i="113"/>
  <c r="K3" i="117" s="1"/>
  <c r="J3" i="113"/>
  <c r="J6" i="113" s="1"/>
  <c r="I3" i="113"/>
  <c r="H3" i="113"/>
  <c r="H6" i="113" s="1"/>
  <c r="H7" i="127" s="1"/>
  <c r="G3" i="113"/>
  <c r="F3" i="113"/>
  <c r="F3" i="117" s="1"/>
  <c r="E3" i="113"/>
  <c r="D3" i="113"/>
  <c r="J37" i="127"/>
  <c r="F62" i="127"/>
  <c r="D32" i="127"/>
  <c r="I81" i="113"/>
  <c r="K32" i="113"/>
  <c r="T49" i="113"/>
  <c r="D21" i="113"/>
  <c r="D22" i="127" s="1"/>
  <c r="J51" i="113"/>
  <c r="J52" i="113" s="1"/>
  <c r="H7" i="113"/>
  <c r="N17" i="113"/>
  <c r="D32" i="113"/>
  <c r="L32" i="113"/>
  <c r="K51" i="113"/>
  <c r="K52" i="113" s="1"/>
  <c r="O17" i="113"/>
  <c r="D51" i="113"/>
  <c r="T48" i="113"/>
  <c r="L51" i="113"/>
  <c r="T50" i="113"/>
  <c r="D66" i="113"/>
  <c r="D67" i="113" s="1"/>
  <c r="F32" i="113"/>
  <c r="I32" i="113"/>
  <c r="E42" i="113"/>
  <c r="M67" i="113"/>
  <c r="D16" i="113"/>
  <c r="D17" i="127" s="1"/>
  <c r="F81" i="113"/>
  <c r="G67" i="113"/>
  <c r="O12" i="113"/>
  <c r="D12" i="113"/>
  <c r="H12" i="113"/>
  <c r="L12" i="113"/>
  <c r="F12" i="113"/>
  <c r="J12" i="113"/>
  <c r="N12" i="113"/>
  <c r="E21" i="113"/>
  <c r="E22" i="127" s="1"/>
  <c r="E77" i="127"/>
  <c r="D67" i="127"/>
  <c r="O77" i="127"/>
  <c r="L52" i="113"/>
  <c r="I22" i="113"/>
  <c r="P15" i="128"/>
  <c r="P17" i="128"/>
  <c r="H3" i="117"/>
  <c r="L3" i="117"/>
  <c r="N3" i="117"/>
  <c r="N6" i="120"/>
  <c r="N7" i="125" s="1"/>
  <c r="M6" i="120"/>
  <c r="M7" i="125" s="1"/>
  <c r="O6" i="120"/>
  <c r="O7" i="125" s="1"/>
  <c r="P54" i="120"/>
  <c r="P40" i="123"/>
  <c r="D31" i="120"/>
  <c r="D32" i="120" s="1"/>
  <c r="D36" i="120"/>
  <c r="P28" i="123"/>
  <c r="O31" i="123"/>
  <c r="O32" i="124"/>
  <c r="P25" i="123"/>
  <c r="D16" i="123"/>
  <c r="D84" i="126"/>
  <c r="D85" i="126"/>
  <c r="D83" i="126"/>
  <c r="D79" i="126"/>
  <c r="D80" i="126"/>
  <c r="D78" i="126"/>
  <c r="D74" i="117"/>
  <c r="E74" i="117"/>
  <c r="F74" i="117"/>
  <c r="G74" i="117"/>
  <c r="H74" i="117"/>
  <c r="I74" i="117"/>
  <c r="J74" i="117"/>
  <c r="K74" i="117"/>
  <c r="L74" i="117"/>
  <c r="L76" i="117" s="1"/>
  <c r="M74" i="117"/>
  <c r="N74" i="117"/>
  <c r="O74" i="117"/>
  <c r="D75" i="117"/>
  <c r="E75" i="117"/>
  <c r="F75" i="117"/>
  <c r="G75" i="117"/>
  <c r="G76" i="117" s="1"/>
  <c r="G77" i="117" s="1"/>
  <c r="H75" i="117"/>
  <c r="I75" i="117"/>
  <c r="J75" i="117"/>
  <c r="K75" i="117"/>
  <c r="L75" i="117"/>
  <c r="M75" i="117"/>
  <c r="N75" i="117"/>
  <c r="O75" i="117"/>
  <c r="E73" i="117"/>
  <c r="E76" i="117" s="1"/>
  <c r="F73" i="117"/>
  <c r="G73" i="117"/>
  <c r="H73" i="117"/>
  <c r="I73" i="117"/>
  <c r="L73" i="117"/>
  <c r="M73" i="117"/>
  <c r="M76" i="117" s="1"/>
  <c r="N73" i="117"/>
  <c r="N76" i="117" s="1"/>
  <c r="N77" i="117" s="1"/>
  <c r="O73" i="117"/>
  <c r="D73" i="117"/>
  <c r="D73" i="126"/>
  <c r="D69" i="126"/>
  <c r="P69" i="126" s="1"/>
  <c r="D70" i="126"/>
  <c r="D68" i="126"/>
  <c r="D64" i="126"/>
  <c r="D65" i="126"/>
  <c r="D63" i="126"/>
  <c r="D59" i="126"/>
  <c r="D60" i="126"/>
  <c r="D58" i="126"/>
  <c r="D44" i="126"/>
  <c r="D45" i="126"/>
  <c r="D43" i="126"/>
  <c r="D46" i="126" s="1"/>
  <c r="D39" i="126"/>
  <c r="P39" i="126" s="1"/>
  <c r="D40" i="126"/>
  <c r="D38" i="126"/>
  <c r="D34" i="126"/>
  <c r="D35" i="126"/>
  <c r="D33" i="126"/>
  <c r="P33" i="126" s="1"/>
  <c r="D29" i="126"/>
  <c r="D30" i="126"/>
  <c r="P30" i="126" s="1"/>
  <c r="D28" i="126"/>
  <c r="P25" i="126"/>
  <c r="P26" i="126" s="1"/>
  <c r="D19" i="126"/>
  <c r="D20" i="126"/>
  <c r="D18" i="126"/>
  <c r="D14" i="126"/>
  <c r="D13" i="126"/>
  <c r="D14" i="117"/>
  <c r="E14" i="117"/>
  <c r="F14" i="117"/>
  <c r="G14" i="117"/>
  <c r="H14" i="117"/>
  <c r="I14" i="117"/>
  <c r="J14" i="117"/>
  <c r="K14" i="117"/>
  <c r="L14" i="117"/>
  <c r="M14" i="117"/>
  <c r="N14" i="117"/>
  <c r="O14" i="117"/>
  <c r="E13" i="117"/>
  <c r="F13" i="117"/>
  <c r="G13" i="117"/>
  <c r="H13" i="117"/>
  <c r="I13" i="117"/>
  <c r="J13" i="117"/>
  <c r="K13" i="117"/>
  <c r="L13" i="117"/>
  <c r="M13" i="117"/>
  <c r="N13" i="117"/>
  <c r="O13" i="117"/>
  <c r="D13" i="117"/>
  <c r="D9" i="126"/>
  <c r="P9" i="126" s="1"/>
  <c r="D10" i="126"/>
  <c r="D8" i="126"/>
  <c r="D4" i="126"/>
  <c r="D5" i="126"/>
  <c r="D3" i="126"/>
  <c r="D74" i="126"/>
  <c r="D75" i="126"/>
  <c r="E56" i="123"/>
  <c r="E57" i="123"/>
  <c r="F56" i="123"/>
  <c r="F57" i="123" s="1"/>
  <c r="G56" i="123"/>
  <c r="H56" i="123"/>
  <c r="H57" i="124" s="1"/>
  <c r="I56" i="123"/>
  <c r="I57" i="123" s="1"/>
  <c r="J56" i="123"/>
  <c r="J57" i="123" s="1"/>
  <c r="K56" i="123"/>
  <c r="K57" i="123" s="1"/>
  <c r="L56" i="123"/>
  <c r="L57" i="123" s="1"/>
  <c r="M56" i="123"/>
  <c r="M57" i="123" s="1"/>
  <c r="N56" i="123"/>
  <c r="O56" i="123"/>
  <c r="O57" i="123" s="1"/>
  <c r="D56" i="123"/>
  <c r="D11" i="124"/>
  <c r="D81" i="124"/>
  <c r="D82" i="124" s="1"/>
  <c r="D76" i="124"/>
  <c r="D61" i="124"/>
  <c r="D46" i="124"/>
  <c r="D41" i="124"/>
  <c r="D36" i="124"/>
  <c r="D26" i="124"/>
  <c r="D16" i="124"/>
  <c r="D6" i="124"/>
  <c r="P14" i="123"/>
  <c r="O16" i="123"/>
  <c r="N16" i="123"/>
  <c r="N17" i="124" s="1"/>
  <c r="M16" i="123"/>
  <c r="L16" i="123"/>
  <c r="L17" i="124" s="1"/>
  <c r="K16" i="123"/>
  <c r="K17" i="124" s="1"/>
  <c r="J16" i="123"/>
  <c r="I16" i="123"/>
  <c r="I17" i="124" s="1"/>
  <c r="H16" i="123"/>
  <c r="G16" i="123"/>
  <c r="F16" i="123"/>
  <c r="F17" i="124" s="1"/>
  <c r="E16" i="123"/>
  <c r="E17" i="124" s="1"/>
  <c r="P15" i="120"/>
  <c r="P14" i="120"/>
  <c r="P13" i="120"/>
  <c r="N17" i="126"/>
  <c r="D12" i="124"/>
  <c r="O17" i="126"/>
  <c r="K17" i="126"/>
  <c r="G17" i="126"/>
  <c r="J17" i="126"/>
  <c r="F17" i="126"/>
  <c r="M17" i="126"/>
  <c r="E17" i="126"/>
  <c r="I17" i="126"/>
  <c r="D26" i="126"/>
  <c r="L17" i="126"/>
  <c r="H17" i="126"/>
  <c r="D17" i="126"/>
  <c r="P16" i="120"/>
  <c r="P20" i="120"/>
  <c r="O21" i="120"/>
  <c r="P20" i="123"/>
  <c r="D9" i="117"/>
  <c r="E9" i="117"/>
  <c r="F9" i="117"/>
  <c r="G9" i="117"/>
  <c r="H9" i="117"/>
  <c r="H11" i="117" s="1"/>
  <c r="I9" i="117"/>
  <c r="J9" i="117"/>
  <c r="K9" i="117"/>
  <c r="L9" i="117"/>
  <c r="M9" i="117"/>
  <c r="N9" i="117"/>
  <c r="O9" i="117"/>
  <c r="D10" i="117"/>
  <c r="E10" i="117"/>
  <c r="F10" i="117"/>
  <c r="G10" i="117"/>
  <c r="H10" i="117"/>
  <c r="I10" i="117"/>
  <c r="J10" i="117"/>
  <c r="K10" i="117"/>
  <c r="L10" i="117"/>
  <c r="M10" i="117"/>
  <c r="N10" i="117"/>
  <c r="O10" i="117"/>
  <c r="E8" i="117"/>
  <c r="E11" i="117" s="1"/>
  <c r="E12" i="117" s="1"/>
  <c r="F8" i="117"/>
  <c r="G8" i="117"/>
  <c r="H8" i="117"/>
  <c r="I8" i="117"/>
  <c r="I11" i="117" s="1"/>
  <c r="J8" i="117"/>
  <c r="K8" i="117"/>
  <c r="L8" i="117"/>
  <c r="M8" i="117"/>
  <c r="M11" i="117" s="1"/>
  <c r="M12" i="126" s="1"/>
  <c r="N8" i="117"/>
  <c r="O8" i="117"/>
  <c r="D8" i="117"/>
  <c r="P55" i="120"/>
  <c r="D81" i="123"/>
  <c r="D82" i="123" s="1"/>
  <c r="P43" i="123"/>
  <c r="H11" i="120"/>
  <c r="H12" i="120" s="1"/>
  <c r="P8" i="120"/>
  <c r="P9" i="120"/>
  <c r="P10" i="120"/>
  <c r="O11" i="123"/>
  <c r="N11" i="123"/>
  <c r="N12" i="124"/>
  <c r="M11" i="123"/>
  <c r="M12" i="124" s="1"/>
  <c r="L11" i="123"/>
  <c r="L12" i="124"/>
  <c r="K11" i="123"/>
  <c r="J11" i="123"/>
  <c r="I11" i="123"/>
  <c r="I12" i="124" s="1"/>
  <c r="H11" i="123"/>
  <c r="H12" i="123" s="1"/>
  <c r="H12" i="124"/>
  <c r="G11" i="123"/>
  <c r="E12" i="124"/>
  <c r="N11" i="117"/>
  <c r="O11" i="120"/>
  <c r="O12" i="120" s="1"/>
  <c r="N11" i="120"/>
  <c r="N12" i="120" s="1"/>
  <c r="M11" i="120"/>
  <c r="M12" i="120"/>
  <c r="L11" i="120"/>
  <c r="L12" i="120" s="1"/>
  <c r="K11" i="120"/>
  <c r="K12" i="120" s="1"/>
  <c r="J11" i="120"/>
  <c r="J12" i="120" s="1"/>
  <c r="I11" i="120"/>
  <c r="I12" i="120"/>
  <c r="G11" i="120"/>
  <c r="G12" i="120" s="1"/>
  <c r="F11" i="120"/>
  <c r="R11" i="120" s="1"/>
  <c r="F12" i="120"/>
  <c r="E11" i="120"/>
  <c r="E12" i="120" s="1"/>
  <c r="D11" i="120"/>
  <c r="P9" i="123"/>
  <c r="P11" i="123" s="1"/>
  <c r="P12" i="124" s="1"/>
  <c r="I12" i="123"/>
  <c r="D12" i="120"/>
  <c r="L12" i="123"/>
  <c r="J12" i="123"/>
  <c r="N12" i="123"/>
  <c r="D41" i="120"/>
  <c r="D46" i="120"/>
  <c r="P53" i="123"/>
  <c r="P54" i="123"/>
  <c r="P55" i="123"/>
  <c r="G57" i="123"/>
  <c r="P58" i="123"/>
  <c r="P61" i="123" s="1"/>
  <c r="P59" i="123"/>
  <c r="P60" i="123"/>
  <c r="D61" i="123"/>
  <c r="E61" i="123"/>
  <c r="E62" i="124" s="1"/>
  <c r="F61" i="123"/>
  <c r="F62" i="124" s="1"/>
  <c r="G61" i="123"/>
  <c r="G62" i="124" s="1"/>
  <c r="H61" i="123"/>
  <c r="H62" i="124" s="1"/>
  <c r="I61" i="123"/>
  <c r="J61" i="123"/>
  <c r="K61" i="123"/>
  <c r="K62" i="124" s="1"/>
  <c r="L61" i="123"/>
  <c r="L62" i="124" s="1"/>
  <c r="M61" i="123"/>
  <c r="M62" i="124" s="1"/>
  <c r="N61" i="123"/>
  <c r="N62" i="124" s="1"/>
  <c r="O61" i="123"/>
  <c r="O62" i="124" s="1"/>
  <c r="P63" i="123"/>
  <c r="P64" i="123"/>
  <c r="P65" i="123"/>
  <c r="D66" i="123"/>
  <c r="D67" i="124" s="1"/>
  <c r="E66" i="123"/>
  <c r="E67" i="124"/>
  <c r="F66" i="123"/>
  <c r="F67" i="124" s="1"/>
  <c r="G66" i="123"/>
  <c r="G67" i="123" s="1"/>
  <c r="H66" i="123"/>
  <c r="H67" i="124" s="1"/>
  <c r="I66" i="123"/>
  <c r="I67" i="124"/>
  <c r="J66" i="123"/>
  <c r="J67" i="124" s="1"/>
  <c r="K66" i="123"/>
  <c r="K67" i="124" s="1"/>
  <c r="L66" i="123"/>
  <c r="L67" i="124" s="1"/>
  <c r="M66" i="123"/>
  <c r="M67" i="124"/>
  <c r="N66" i="123"/>
  <c r="O66" i="123"/>
  <c r="O67" i="123" s="1"/>
  <c r="O67" i="124"/>
  <c r="P68" i="123"/>
  <c r="P69" i="123"/>
  <c r="P70" i="123"/>
  <c r="D71" i="123"/>
  <c r="D72" i="124" s="1"/>
  <c r="E71" i="123"/>
  <c r="E72" i="124" s="1"/>
  <c r="F71" i="123"/>
  <c r="F72" i="124" s="1"/>
  <c r="G71" i="123"/>
  <c r="G72" i="124" s="1"/>
  <c r="H71" i="123"/>
  <c r="I71" i="123"/>
  <c r="I72" i="124" s="1"/>
  <c r="J71" i="123"/>
  <c r="J72" i="124" s="1"/>
  <c r="K71" i="123"/>
  <c r="K72" i="124" s="1"/>
  <c r="L71" i="123"/>
  <c r="L72" i="124" s="1"/>
  <c r="M71" i="123"/>
  <c r="M72" i="124" s="1"/>
  <c r="N71" i="123"/>
  <c r="N72" i="124" s="1"/>
  <c r="O71" i="123"/>
  <c r="P73" i="123"/>
  <c r="P76" i="123" s="1"/>
  <c r="P74" i="123"/>
  <c r="P75" i="123"/>
  <c r="D76" i="123"/>
  <c r="E76" i="123"/>
  <c r="E77" i="124" s="1"/>
  <c r="F76" i="123"/>
  <c r="F77" i="124" s="1"/>
  <c r="G76" i="123"/>
  <c r="H76" i="123"/>
  <c r="I76" i="123"/>
  <c r="J76" i="123"/>
  <c r="J77" i="124" s="1"/>
  <c r="K76" i="123"/>
  <c r="K77" i="124" s="1"/>
  <c r="L76" i="123"/>
  <c r="L77" i="124" s="1"/>
  <c r="M76" i="123"/>
  <c r="N76" i="123"/>
  <c r="N77" i="124" s="1"/>
  <c r="O76" i="123"/>
  <c r="O77" i="124" s="1"/>
  <c r="P78" i="123"/>
  <c r="P79" i="123"/>
  <c r="P80" i="123"/>
  <c r="E81" i="123"/>
  <c r="F81" i="123"/>
  <c r="F82" i="124" s="1"/>
  <c r="G81" i="123"/>
  <c r="G82" i="124" s="1"/>
  <c r="H81" i="123"/>
  <c r="H82" i="124" s="1"/>
  <c r="I81" i="123"/>
  <c r="I82" i="124" s="1"/>
  <c r="J81" i="123"/>
  <c r="J82" i="124" s="1"/>
  <c r="K81" i="123"/>
  <c r="L81" i="123"/>
  <c r="L82" i="124" s="1"/>
  <c r="M81" i="123"/>
  <c r="M82" i="124" s="1"/>
  <c r="N81" i="123"/>
  <c r="O81" i="123"/>
  <c r="O82" i="124" s="1"/>
  <c r="D21" i="120"/>
  <c r="D26" i="120"/>
  <c r="O20" i="117"/>
  <c r="O21" i="117" s="1"/>
  <c r="O22" i="117" s="1"/>
  <c r="N20" i="117"/>
  <c r="M20" i="117"/>
  <c r="L20" i="117"/>
  <c r="K20" i="117"/>
  <c r="J20" i="117"/>
  <c r="I20" i="117"/>
  <c r="H20" i="117"/>
  <c r="G20" i="117"/>
  <c r="G21" i="117" s="1"/>
  <c r="F20" i="117"/>
  <c r="E20" i="117"/>
  <c r="D20" i="117"/>
  <c r="O18" i="117"/>
  <c r="N18" i="117"/>
  <c r="M18" i="117"/>
  <c r="K18" i="117"/>
  <c r="J18" i="117"/>
  <c r="J21" i="117" s="1"/>
  <c r="J22" i="117" s="1"/>
  <c r="I18" i="117"/>
  <c r="G18" i="117"/>
  <c r="E18" i="117"/>
  <c r="P17" i="117"/>
  <c r="O17" i="117"/>
  <c r="N17" i="117"/>
  <c r="M17" i="117"/>
  <c r="L17" i="117"/>
  <c r="K17" i="117"/>
  <c r="J17" i="117"/>
  <c r="I17" i="117"/>
  <c r="H17" i="117"/>
  <c r="G17" i="117"/>
  <c r="F17" i="117"/>
  <c r="E17" i="117"/>
  <c r="D17" i="117"/>
  <c r="E84" i="117"/>
  <c r="F84" i="117"/>
  <c r="G84" i="117"/>
  <c r="H84" i="117"/>
  <c r="I84" i="117"/>
  <c r="K84" i="117"/>
  <c r="L84" i="117"/>
  <c r="M84" i="117"/>
  <c r="O84" i="117"/>
  <c r="D85" i="117"/>
  <c r="E85" i="117"/>
  <c r="F85" i="117"/>
  <c r="G85" i="117"/>
  <c r="H85" i="117"/>
  <c r="I85" i="117"/>
  <c r="I86" i="117" s="1"/>
  <c r="J85" i="117"/>
  <c r="K85" i="117"/>
  <c r="L85" i="117"/>
  <c r="M85" i="117"/>
  <c r="N85" i="117"/>
  <c r="O85" i="117"/>
  <c r="F83" i="117"/>
  <c r="F86" i="117" s="1"/>
  <c r="F87" i="117" s="1"/>
  <c r="H83" i="117"/>
  <c r="I83" i="117"/>
  <c r="J83" i="117"/>
  <c r="K83" i="117"/>
  <c r="L83" i="117"/>
  <c r="M83" i="117"/>
  <c r="N83" i="117"/>
  <c r="O83" i="117"/>
  <c r="O86" i="117" s="1"/>
  <c r="O87" i="117" s="1"/>
  <c r="D83" i="117"/>
  <c r="D79" i="117"/>
  <c r="E79" i="117"/>
  <c r="F79" i="117"/>
  <c r="G79" i="117"/>
  <c r="H79" i="117"/>
  <c r="I79" i="117"/>
  <c r="J79" i="117"/>
  <c r="K79" i="117"/>
  <c r="L79" i="117"/>
  <c r="M79" i="117"/>
  <c r="N79" i="117"/>
  <c r="O79" i="117"/>
  <c r="D80" i="117"/>
  <c r="E80" i="117"/>
  <c r="F80" i="117"/>
  <c r="G80" i="117"/>
  <c r="H80" i="117"/>
  <c r="I80" i="117"/>
  <c r="J80" i="117"/>
  <c r="K80" i="117"/>
  <c r="L80" i="117"/>
  <c r="M80" i="117"/>
  <c r="N80" i="117"/>
  <c r="O80" i="117"/>
  <c r="D69" i="117"/>
  <c r="E69" i="117"/>
  <c r="F69" i="117"/>
  <c r="G69" i="117"/>
  <c r="H69" i="117"/>
  <c r="I69" i="117"/>
  <c r="I71" i="117" s="1"/>
  <c r="I72" i="117" s="1"/>
  <c r="J69" i="117"/>
  <c r="K69" i="117"/>
  <c r="L69" i="117"/>
  <c r="M69" i="117"/>
  <c r="N69" i="117"/>
  <c r="O69" i="117"/>
  <c r="D70" i="117"/>
  <c r="D71" i="117" s="1"/>
  <c r="D72" i="117" s="1"/>
  <c r="E70" i="117"/>
  <c r="F70" i="117"/>
  <c r="G70" i="117"/>
  <c r="H70" i="117"/>
  <c r="I70" i="117"/>
  <c r="J70" i="117"/>
  <c r="K70" i="117"/>
  <c r="L70" i="117"/>
  <c r="L71" i="117" s="1"/>
  <c r="M70" i="117"/>
  <c r="N70" i="117"/>
  <c r="O70" i="117"/>
  <c r="E68" i="117"/>
  <c r="G68" i="117"/>
  <c r="H68" i="117"/>
  <c r="J68" i="117"/>
  <c r="K68" i="117"/>
  <c r="L68" i="117"/>
  <c r="N68" i="117"/>
  <c r="N71" i="117" s="1"/>
  <c r="O68" i="117"/>
  <c r="D68" i="117"/>
  <c r="D64" i="117"/>
  <c r="E64" i="117"/>
  <c r="F64" i="117"/>
  <c r="G64" i="117"/>
  <c r="H64" i="117"/>
  <c r="I64" i="117"/>
  <c r="J64" i="117"/>
  <c r="K64" i="117"/>
  <c r="L64" i="117"/>
  <c r="M64" i="117"/>
  <c r="N64" i="117"/>
  <c r="O64" i="117"/>
  <c r="D65" i="117"/>
  <c r="E65" i="117"/>
  <c r="F65" i="117"/>
  <c r="G65" i="117"/>
  <c r="H65" i="117"/>
  <c r="I65" i="117"/>
  <c r="J65" i="117"/>
  <c r="K65" i="117"/>
  <c r="L65" i="117"/>
  <c r="M65" i="117"/>
  <c r="N65" i="117"/>
  <c r="O65" i="117"/>
  <c r="D59" i="117"/>
  <c r="E59" i="117"/>
  <c r="F59" i="117"/>
  <c r="G59" i="117"/>
  <c r="H59" i="117"/>
  <c r="I59" i="117"/>
  <c r="I61" i="117" s="1"/>
  <c r="I62" i="117" s="1"/>
  <c r="J59" i="117"/>
  <c r="K59" i="117"/>
  <c r="L59" i="117"/>
  <c r="M59" i="117"/>
  <c r="N59" i="117"/>
  <c r="O59" i="117"/>
  <c r="D60" i="117"/>
  <c r="E60" i="117"/>
  <c r="F60" i="117"/>
  <c r="G60" i="117"/>
  <c r="H60" i="117"/>
  <c r="I60" i="117"/>
  <c r="J60" i="117"/>
  <c r="K60" i="117"/>
  <c r="L60" i="117"/>
  <c r="M60" i="117"/>
  <c r="M61" i="117" s="1"/>
  <c r="N60" i="117"/>
  <c r="O60" i="117"/>
  <c r="E58" i="117"/>
  <c r="F58" i="117"/>
  <c r="G58" i="117"/>
  <c r="H58" i="117"/>
  <c r="I58" i="117"/>
  <c r="J58" i="117"/>
  <c r="J61" i="117" s="1"/>
  <c r="K58" i="117"/>
  <c r="K61" i="117" s="1"/>
  <c r="L58" i="117"/>
  <c r="M58" i="117"/>
  <c r="N58" i="117"/>
  <c r="O58" i="117"/>
  <c r="D58" i="117"/>
  <c r="D44" i="117"/>
  <c r="E44" i="117"/>
  <c r="F44" i="117"/>
  <c r="G44" i="117"/>
  <c r="H44" i="117"/>
  <c r="I44" i="117"/>
  <c r="J44" i="117"/>
  <c r="K44" i="117"/>
  <c r="L44" i="117"/>
  <c r="M44" i="117"/>
  <c r="N44" i="117"/>
  <c r="O44" i="117"/>
  <c r="D45" i="117"/>
  <c r="E45" i="117"/>
  <c r="F45" i="117"/>
  <c r="G45" i="117"/>
  <c r="H45" i="117"/>
  <c r="I45" i="117"/>
  <c r="J45" i="117"/>
  <c r="K45" i="117"/>
  <c r="L45" i="117"/>
  <c r="M45" i="117"/>
  <c r="N45" i="117"/>
  <c r="O45" i="117"/>
  <c r="D39" i="117"/>
  <c r="E39" i="117"/>
  <c r="F39" i="117"/>
  <c r="G39" i="117"/>
  <c r="H39" i="117"/>
  <c r="I39" i="117"/>
  <c r="J39" i="117"/>
  <c r="K39" i="117"/>
  <c r="L39" i="117"/>
  <c r="M39" i="117"/>
  <c r="M89" i="117" s="1"/>
  <c r="N39" i="117"/>
  <c r="O39" i="117"/>
  <c r="D40" i="117"/>
  <c r="E40" i="117"/>
  <c r="F40" i="117"/>
  <c r="G40" i="117"/>
  <c r="H40" i="117"/>
  <c r="I40" i="117"/>
  <c r="J40" i="117"/>
  <c r="K40" i="117"/>
  <c r="L40" i="117"/>
  <c r="M40" i="117"/>
  <c r="N40" i="117"/>
  <c r="O40" i="117"/>
  <c r="E38" i="117"/>
  <c r="D34" i="117"/>
  <c r="E34" i="117"/>
  <c r="F34" i="117"/>
  <c r="G34" i="117"/>
  <c r="H34" i="117"/>
  <c r="I34" i="117"/>
  <c r="J34" i="117"/>
  <c r="K34" i="117"/>
  <c r="L34" i="117"/>
  <c r="M34" i="117"/>
  <c r="N34" i="117"/>
  <c r="O34" i="117"/>
  <c r="D35" i="117"/>
  <c r="E35" i="117"/>
  <c r="F35" i="117"/>
  <c r="G35" i="117"/>
  <c r="H35" i="117"/>
  <c r="I35" i="117"/>
  <c r="J35" i="117"/>
  <c r="K35" i="117"/>
  <c r="L35" i="117"/>
  <c r="M35" i="117"/>
  <c r="N35" i="117"/>
  <c r="O35" i="117"/>
  <c r="E33" i="117"/>
  <c r="E36" i="117" s="1"/>
  <c r="E37" i="117" s="1"/>
  <c r="F33" i="117"/>
  <c r="F36" i="117" s="1"/>
  <c r="G33" i="117"/>
  <c r="I33" i="117"/>
  <c r="J33" i="117"/>
  <c r="K33" i="117"/>
  <c r="M33" i="117"/>
  <c r="D33" i="117"/>
  <c r="D29" i="117"/>
  <c r="E29" i="117"/>
  <c r="F29" i="117"/>
  <c r="G29" i="117"/>
  <c r="H29" i="117"/>
  <c r="I29" i="117"/>
  <c r="J29" i="117"/>
  <c r="K29" i="117"/>
  <c r="L29" i="117"/>
  <c r="M29" i="117"/>
  <c r="N29" i="117"/>
  <c r="O29" i="117"/>
  <c r="D30" i="117"/>
  <c r="E30" i="117"/>
  <c r="F30" i="117"/>
  <c r="G30" i="117"/>
  <c r="H30" i="117"/>
  <c r="I30" i="117"/>
  <c r="J30" i="117"/>
  <c r="K30" i="117"/>
  <c r="L30" i="117"/>
  <c r="M30" i="117"/>
  <c r="N30" i="117"/>
  <c r="O30" i="117"/>
  <c r="D86" i="120"/>
  <c r="R71" i="123"/>
  <c r="D27" i="120"/>
  <c r="D27" i="125"/>
  <c r="D47" i="125"/>
  <c r="D22" i="125"/>
  <c r="D42" i="120"/>
  <c r="E82" i="124"/>
  <c r="D77" i="124"/>
  <c r="P81" i="123"/>
  <c r="P82" i="124" s="1"/>
  <c r="E21" i="117"/>
  <c r="E22" i="117" s="1"/>
  <c r="I21" i="117"/>
  <c r="I22" i="117" s="1"/>
  <c r="N21" i="117"/>
  <c r="N22" i="117" s="1"/>
  <c r="H86" i="120"/>
  <c r="J22" i="126"/>
  <c r="P71" i="123"/>
  <c r="O61" i="117"/>
  <c r="O62" i="117" s="1"/>
  <c r="K86" i="117"/>
  <c r="L86" i="117"/>
  <c r="L87" i="117" s="1"/>
  <c r="I76" i="117"/>
  <c r="H76" i="117"/>
  <c r="P74" i="117"/>
  <c r="P54" i="117"/>
  <c r="O76" i="117"/>
  <c r="P75" i="117"/>
  <c r="P55" i="117"/>
  <c r="I86" i="120"/>
  <c r="M21" i="117"/>
  <c r="D76" i="117"/>
  <c r="F76" i="117"/>
  <c r="F77" i="117" s="1"/>
  <c r="D61" i="117"/>
  <c r="D62" i="117" s="1"/>
  <c r="L57" i="117"/>
  <c r="K87" i="117"/>
  <c r="I77" i="117"/>
  <c r="E77" i="117"/>
  <c r="P43" i="120"/>
  <c r="P44" i="120"/>
  <c r="P45" i="120"/>
  <c r="E46" i="120"/>
  <c r="F46" i="120"/>
  <c r="G46" i="120"/>
  <c r="H46" i="120"/>
  <c r="H47" i="120" s="1"/>
  <c r="I46" i="120"/>
  <c r="I47" i="125"/>
  <c r="J46" i="120"/>
  <c r="K46" i="120"/>
  <c r="K47" i="125"/>
  <c r="L46" i="120"/>
  <c r="L47" i="120" s="1"/>
  <c r="M46" i="120"/>
  <c r="M47" i="125"/>
  <c r="N46" i="120"/>
  <c r="N47" i="125"/>
  <c r="O46" i="120"/>
  <c r="O47" i="125"/>
  <c r="P53" i="120"/>
  <c r="F57" i="120"/>
  <c r="J57" i="120"/>
  <c r="N57" i="120"/>
  <c r="L57" i="120"/>
  <c r="P58" i="120"/>
  <c r="P61" i="120" s="1"/>
  <c r="P59" i="120"/>
  <c r="P60" i="120"/>
  <c r="D61" i="120"/>
  <c r="E61" i="120"/>
  <c r="E62" i="125" s="1"/>
  <c r="F61" i="120"/>
  <c r="F62" i="125"/>
  <c r="G61" i="120"/>
  <c r="G62" i="125" s="1"/>
  <c r="H61" i="120"/>
  <c r="H62" i="120" s="1"/>
  <c r="H62" i="125"/>
  <c r="I61" i="120"/>
  <c r="I62" i="125" s="1"/>
  <c r="J61" i="120"/>
  <c r="J62" i="120" s="1"/>
  <c r="K61" i="120"/>
  <c r="K62" i="125" s="1"/>
  <c r="L61" i="120"/>
  <c r="L62" i="125"/>
  <c r="M61" i="120"/>
  <c r="N61" i="120"/>
  <c r="N62" i="125" s="1"/>
  <c r="O61" i="120"/>
  <c r="O62" i="120" s="1"/>
  <c r="P63" i="120"/>
  <c r="P64" i="120"/>
  <c r="P65" i="120"/>
  <c r="D66" i="120"/>
  <c r="E66" i="120"/>
  <c r="F66" i="120"/>
  <c r="F67" i="120" s="1"/>
  <c r="G66" i="120"/>
  <c r="H66" i="120"/>
  <c r="H67" i="120" s="1"/>
  <c r="I66" i="120"/>
  <c r="I67" i="120" s="1"/>
  <c r="J66" i="120"/>
  <c r="J67" i="120" s="1"/>
  <c r="K66" i="120"/>
  <c r="K67" i="120" s="1"/>
  <c r="L66" i="120"/>
  <c r="M66" i="120"/>
  <c r="M67" i="120" s="1"/>
  <c r="N66" i="120"/>
  <c r="N67" i="120" s="1"/>
  <c r="O66" i="120"/>
  <c r="P68" i="120"/>
  <c r="P69" i="120"/>
  <c r="P71" i="120" s="1"/>
  <c r="P70" i="120"/>
  <c r="D71" i="120"/>
  <c r="D72" i="120" s="1"/>
  <c r="E71" i="120"/>
  <c r="E72" i="125"/>
  <c r="F71" i="120"/>
  <c r="F72" i="125" s="1"/>
  <c r="G71" i="120"/>
  <c r="G72" i="125"/>
  <c r="H71" i="120"/>
  <c r="H72" i="125"/>
  <c r="I71" i="120"/>
  <c r="I72" i="120" s="1"/>
  <c r="I72" i="125"/>
  <c r="J71" i="120"/>
  <c r="J72" i="120" s="1"/>
  <c r="K71" i="120"/>
  <c r="K72" i="125"/>
  <c r="L71" i="120"/>
  <c r="M71" i="120"/>
  <c r="M72" i="125"/>
  <c r="N71" i="120"/>
  <c r="N72" i="125" s="1"/>
  <c r="O71" i="120"/>
  <c r="O72" i="125"/>
  <c r="P73" i="120"/>
  <c r="P74" i="120"/>
  <c r="P76" i="120" s="1"/>
  <c r="P75" i="120"/>
  <c r="D76" i="120"/>
  <c r="E76" i="120"/>
  <c r="E77" i="125" s="1"/>
  <c r="F76" i="120"/>
  <c r="F77" i="120" s="1"/>
  <c r="G76" i="120"/>
  <c r="G77" i="120" s="1"/>
  <c r="G77" i="125"/>
  <c r="H76" i="120"/>
  <c r="I76" i="120"/>
  <c r="I77" i="125" s="1"/>
  <c r="J76" i="120"/>
  <c r="K76" i="120"/>
  <c r="L76" i="120"/>
  <c r="M76" i="120"/>
  <c r="M77" i="125" s="1"/>
  <c r="N76" i="120"/>
  <c r="N77" i="120" s="1"/>
  <c r="O76" i="120"/>
  <c r="O77" i="125"/>
  <c r="P78" i="120"/>
  <c r="P79" i="120"/>
  <c r="P80" i="120"/>
  <c r="D81" i="120"/>
  <c r="E81" i="120"/>
  <c r="E82" i="125"/>
  <c r="F81" i="120"/>
  <c r="F82" i="120" s="1"/>
  <c r="G81" i="120"/>
  <c r="H81" i="120"/>
  <c r="H82" i="125" s="1"/>
  <c r="I81" i="120"/>
  <c r="J81" i="120"/>
  <c r="J82" i="125" s="1"/>
  <c r="K81" i="120"/>
  <c r="L81" i="120"/>
  <c r="L82" i="125" s="1"/>
  <c r="M81" i="120"/>
  <c r="M82" i="125" s="1"/>
  <c r="N81" i="120"/>
  <c r="N82" i="125"/>
  <c r="O81" i="120"/>
  <c r="Q41" i="120"/>
  <c r="O41" i="120"/>
  <c r="O42" i="125"/>
  <c r="N41" i="120"/>
  <c r="M41" i="120"/>
  <c r="M42" i="120" s="1"/>
  <c r="M42" i="125"/>
  <c r="L41" i="120"/>
  <c r="L42" i="125"/>
  <c r="O31" i="120"/>
  <c r="O32" i="125"/>
  <c r="N31" i="120"/>
  <c r="N32" i="120" s="1"/>
  <c r="M31" i="120"/>
  <c r="M32" i="120" s="1"/>
  <c r="M32" i="125"/>
  <c r="L31" i="120"/>
  <c r="L32" i="125"/>
  <c r="K31" i="120"/>
  <c r="K32" i="125"/>
  <c r="N21" i="120"/>
  <c r="N22" i="125"/>
  <c r="M21" i="120"/>
  <c r="M22" i="120" s="1"/>
  <c r="M22" i="125"/>
  <c r="L21" i="120"/>
  <c r="L22" i="120" s="1"/>
  <c r="L22" i="125"/>
  <c r="K21" i="120"/>
  <c r="K22" i="125"/>
  <c r="O16" i="120"/>
  <c r="O17" i="120" s="1"/>
  <c r="O17" i="125"/>
  <c r="N16" i="120"/>
  <c r="N17" i="120" s="1"/>
  <c r="N17" i="125"/>
  <c r="M16" i="120"/>
  <c r="L16" i="120"/>
  <c r="K16" i="120"/>
  <c r="K17" i="125" s="1"/>
  <c r="L6" i="120"/>
  <c r="L7" i="125"/>
  <c r="K41" i="120"/>
  <c r="K42" i="125"/>
  <c r="J41" i="120"/>
  <c r="J42" i="125" s="1"/>
  <c r="I41" i="120"/>
  <c r="H41" i="120"/>
  <c r="H42" i="125"/>
  <c r="G41" i="120"/>
  <c r="G42" i="125" s="1"/>
  <c r="F41" i="120"/>
  <c r="F42" i="125" s="1"/>
  <c r="E41" i="120"/>
  <c r="J31" i="120"/>
  <c r="I31" i="120"/>
  <c r="H31" i="120"/>
  <c r="H32" i="125" s="1"/>
  <c r="G31" i="120"/>
  <c r="G32" i="125" s="1"/>
  <c r="F31" i="120"/>
  <c r="F32" i="125" s="1"/>
  <c r="E31" i="120"/>
  <c r="J21" i="120"/>
  <c r="J22" i="125"/>
  <c r="I21" i="120"/>
  <c r="I22" i="125" s="1"/>
  <c r="H21" i="120"/>
  <c r="H22" i="120" s="1"/>
  <c r="H22" i="125"/>
  <c r="G21" i="120"/>
  <c r="G22" i="125"/>
  <c r="F21" i="120"/>
  <c r="F22" i="125"/>
  <c r="E21" i="120"/>
  <c r="E22" i="125" s="1"/>
  <c r="J16" i="120"/>
  <c r="J17" i="120" s="1"/>
  <c r="I16" i="120"/>
  <c r="H16" i="120"/>
  <c r="G16" i="120"/>
  <c r="F16" i="120"/>
  <c r="E16" i="120"/>
  <c r="D16" i="120"/>
  <c r="D47" i="120"/>
  <c r="E47" i="120"/>
  <c r="H57" i="120"/>
  <c r="M77" i="120"/>
  <c r="F22" i="120"/>
  <c r="P38" i="120"/>
  <c r="P39" i="120"/>
  <c r="P40" i="120"/>
  <c r="P41" i="120" s="1"/>
  <c r="P42" i="125" s="1"/>
  <c r="P30" i="120"/>
  <c r="P29" i="120"/>
  <c r="P28" i="120"/>
  <c r="P19" i="120"/>
  <c r="P18" i="120"/>
  <c r="P35" i="120"/>
  <c r="P34" i="120"/>
  <c r="P33" i="120"/>
  <c r="O36" i="120"/>
  <c r="O37" i="125" s="1"/>
  <c r="N36" i="120"/>
  <c r="N37" i="120" s="1"/>
  <c r="M36" i="120"/>
  <c r="L36" i="120"/>
  <c r="L37" i="125" s="1"/>
  <c r="K36" i="120"/>
  <c r="K37" i="120" s="1"/>
  <c r="J36" i="120"/>
  <c r="J37" i="120" s="1"/>
  <c r="J37" i="125"/>
  <c r="I36" i="120"/>
  <c r="H36" i="120"/>
  <c r="H37" i="125" s="1"/>
  <c r="G36" i="120"/>
  <c r="G37" i="125" s="1"/>
  <c r="F36" i="120"/>
  <c r="E36" i="120"/>
  <c r="F82" i="125"/>
  <c r="D72" i="125"/>
  <c r="E47" i="125"/>
  <c r="E32" i="125"/>
  <c r="E42" i="125"/>
  <c r="E82" i="120"/>
  <c r="I17" i="120"/>
  <c r="N82" i="120"/>
  <c r="O77" i="120"/>
  <c r="N72" i="120"/>
  <c r="H72" i="120"/>
  <c r="E72" i="120"/>
  <c r="L62" i="120"/>
  <c r="K62" i="120"/>
  <c r="G62" i="120"/>
  <c r="D57" i="120"/>
  <c r="H42" i="120"/>
  <c r="N22" i="120"/>
  <c r="D22" i="120"/>
  <c r="J22" i="120"/>
  <c r="H82" i="120"/>
  <c r="N47" i="120"/>
  <c r="J47" i="120"/>
  <c r="N62" i="120"/>
  <c r="F62" i="120"/>
  <c r="M57" i="120"/>
  <c r="I57" i="120"/>
  <c r="E57" i="120"/>
  <c r="J42" i="120"/>
  <c r="G57" i="120"/>
  <c r="G17" i="120"/>
  <c r="G22" i="120"/>
  <c r="K32" i="120"/>
  <c r="E42" i="120"/>
  <c r="G42" i="120"/>
  <c r="J82" i="120"/>
  <c r="L72" i="120"/>
  <c r="G67" i="120"/>
  <c r="M47" i="120"/>
  <c r="O47" i="120"/>
  <c r="K47" i="120"/>
  <c r="G47" i="120"/>
  <c r="J77" i="120"/>
  <c r="E22" i="120"/>
  <c r="I22" i="120"/>
  <c r="F32" i="120"/>
  <c r="O32" i="120"/>
  <c r="K42" i="120"/>
  <c r="L32" i="120"/>
  <c r="O42" i="120"/>
  <c r="O67" i="120"/>
  <c r="I62" i="120"/>
  <c r="E62" i="120"/>
  <c r="K57" i="120"/>
  <c r="N42" i="120"/>
  <c r="M17" i="120"/>
  <c r="K22" i="120"/>
  <c r="O22" i="120"/>
  <c r="L42" i="120"/>
  <c r="M72" i="120"/>
  <c r="O72" i="120"/>
  <c r="K72" i="120"/>
  <c r="G72" i="120"/>
  <c r="L67" i="120"/>
  <c r="D67" i="120"/>
  <c r="O57" i="120"/>
  <c r="I47" i="120"/>
  <c r="L37" i="120"/>
  <c r="P17" i="120"/>
  <c r="P23" i="120"/>
  <c r="E26" i="120"/>
  <c r="E27" i="120" s="1"/>
  <c r="F26" i="120"/>
  <c r="G26" i="120"/>
  <c r="H26" i="120"/>
  <c r="H27" i="125" s="1"/>
  <c r="I26" i="120"/>
  <c r="J26" i="120"/>
  <c r="J27" i="120" s="1"/>
  <c r="K26" i="120"/>
  <c r="L26" i="120"/>
  <c r="M26" i="120"/>
  <c r="M27" i="120" s="1"/>
  <c r="N26" i="120"/>
  <c r="N27" i="120" s="1"/>
  <c r="O26" i="120"/>
  <c r="P24" i="123"/>
  <c r="M26" i="123"/>
  <c r="M27" i="124"/>
  <c r="D26" i="123"/>
  <c r="I27" i="120"/>
  <c r="I27" i="125"/>
  <c r="N27" i="125"/>
  <c r="M27" i="125"/>
  <c r="L27" i="120"/>
  <c r="L27" i="125"/>
  <c r="G27" i="125"/>
  <c r="E27" i="125"/>
  <c r="R26" i="120"/>
  <c r="P23" i="123"/>
  <c r="P29" i="123"/>
  <c r="P30" i="123"/>
  <c r="P33" i="123"/>
  <c r="P34" i="123"/>
  <c r="P35" i="123"/>
  <c r="P38" i="123"/>
  <c r="P39" i="123"/>
  <c r="P44" i="123"/>
  <c r="P45" i="123"/>
  <c r="P15" i="123"/>
  <c r="P18" i="123"/>
  <c r="P19" i="123"/>
  <c r="O46" i="123"/>
  <c r="O47" i="124"/>
  <c r="N46" i="123"/>
  <c r="N47" i="123" s="1"/>
  <c r="M46" i="123"/>
  <c r="M47" i="123" s="1"/>
  <c r="L46" i="123"/>
  <c r="L47" i="123" s="1"/>
  <c r="K46" i="123"/>
  <c r="K47" i="123" s="1"/>
  <c r="J46" i="123"/>
  <c r="J47" i="123" s="1"/>
  <c r="J47" i="124"/>
  <c r="I46" i="123"/>
  <c r="I47" i="124"/>
  <c r="H46" i="123"/>
  <c r="H47" i="124" s="1"/>
  <c r="G46" i="123"/>
  <c r="F46" i="123"/>
  <c r="F47" i="123" s="1"/>
  <c r="E46" i="123"/>
  <c r="E47" i="123" s="1"/>
  <c r="D46" i="123"/>
  <c r="D47" i="123" s="1"/>
  <c r="O41" i="123"/>
  <c r="O42" i="124" s="1"/>
  <c r="N41" i="123"/>
  <c r="M41" i="123"/>
  <c r="L41" i="123"/>
  <c r="L42" i="124" s="1"/>
  <c r="K41" i="123"/>
  <c r="K42" i="124" s="1"/>
  <c r="J41" i="123"/>
  <c r="J42" i="123" s="1"/>
  <c r="J42" i="124"/>
  <c r="I41" i="123"/>
  <c r="H41" i="123"/>
  <c r="H42" i="123" s="1"/>
  <c r="G41" i="123"/>
  <c r="G42" i="124" s="1"/>
  <c r="F41" i="123"/>
  <c r="F42" i="124"/>
  <c r="E41" i="123"/>
  <c r="D41" i="123"/>
  <c r="D42" i="124" s="1"/>
  <c r="O36" i="123"/>
  <c r="O37" i="124" s="1"/>
  <c r="N36" i="123"/>
  <c r="N37" i="123" s="1"/>
  <c r="N37" i="124"/>
  <c r="M36" i="123"/>
  <c r="M37" i="123" s="1"/>
  <c r="L36" i="123"/>
  <c r="L37" i="124"/>
  <c r="K36" i="123"/>
  <c r="K37" i="124" s="1"/>
  <c r="J36" i="123"/>
  <c r="J37" i="123" s="1"/>
  <c r="I36" i="123"/>
  <c r="H36" i="123"/>
  <c r="H37" i="124"/>
  <c r="G36" i="123"/>
  <c r="F36" i="123"/>
  <c r="F37" i="124"/>
  <c r="E36" i="123"/>
  <c r="E37" i="124"/>
  <c r="D36" i="123"/>
  <c r="N31" i="123"/>
  <c r="N32" i="124" s="1"/>
  <c r="M31" i="123"/>
  <c r="M32" i="124" s="1"/>
  <c r="L31" i="123"/>
  <c r="L32" i="124"/>
  <c r="K31" i="123"/>
  <c r="K32" i="124" s="1"/>
  <c r="J31" i="123"/>
  <c r="J32" i="124" s="1"/>
  <c r="I31" i="123"/>
  <c r="I32" i="123" s="1"/>
  <c r="H31" i="123"/>
  <c r="H32" i="123" s="1"/>
  <c r="G31" i="123"/>
  <c r="F31" i="123"/>
  <c r="F32" i="124" s="1"/>
  <c r="E31" i="123"/>
  <c r="E32" i="123" s="1"/>
  <c r="D31" i="123"/>
  <c r="D32" i="124" s="1"/>
  <c r="O21" i="123"/>
  <c r="O22" i="124"/>
  <c r="N21" i="123"/>
  <c r="N22" i="124" s="1"/>
  <c r="M21" i="123"/>
  <c r="M22" i="124" s="1"/>
  <c r="L21" i="123"/>
  <c r="L22" i="123" s="1"/>
  <c r="K21" i="123"/>
  <c r="K22" i="124" s="1"/>
  <c r="J21" i="123"/>
  <c r="I21" i="123"/>
  <c r="I22" i="124" s="1"/>
  <c r="H21" i="123"/>
  <c r="H22" i="123" s="1"/>
  <c r="H22" i="124"/>
  <c r="G21" i="123"/>
  <c r="G22" i="123" s="1"/>
  <c r="G22" i="124"/>
  <c r="F21" i="123"/>
  <c r="F22" i="124"/>
  <c r="E21" i="123"/>
  <c r="E22" i="123" s="1"/>
  <c r="D21" i="123"/>
  <c r="I22" i="123"/>
  <c r="M17" i="123"/>
  <c r="I17" i="123"/>
  <c r="E17" i="123"/>
  <c r="D22" i="124"/>
  <c r="R21" i="123"/>
  <c r="D37" i="124"/>
  <c r="P16" i="123"/>
  <c r="P17" i="123" s="1"/>
  <c r="N17" i="123"/>
  <c r="E82" i="123"/>
  <c r="I82" i="123"/>
  <c r="M82" i="123"/>
  <c r="F82" i="123"/>
  <c r="J82" i="123"/>
  <c r="N82" i="123"/>
  <c r="G82" i="123"/>
  <c r="O82" i="123"/>
  <c r="H82" i="123"/>
  <c r="L82" i="123"/>
  <c r="E77" i="123"/>
  <c r="F77" i="123"/>
  <c r="J77" i="123"/>
  <c r="N77" i="123"/>
  <c r="G77" i="123"/>
  <c r="K77" i="123"/>
  <c r="O77" i="123"/>
  <c r="D77" i="123"/>
  <c r="L77" i="123"/>
  <c r="D72" i="123"/>
  <c r="L72" i="123"/>
  <c r="E72" i="123"/>
  <c r="I72" i="123"/>
  <c r="M72" i="123"/>
  <c r="F72" i="123"/>
  <c r="J72" i="123"/>
  <c r="N72" i="123"/>
  <c r="G72" i="123"/>
  <c r="K72" i="123"/>
  <c r="O72" i="123"/>
  <c r="D67" i="123"/>
  <c r="H67" i="123"/>
  <c r="L67" i="123"/>
  <c r="E67" i="123"/>
  <c r="I67" i="123"/>
  <c r="M67" i="123"/>
  <c r="F67" i="123"/>
  <c r="J67" i="123"/>
  <c r="N67" i="123"/>
  <c r="K67" i="123"/>
  <c r="D62" i="123"/>
  <c r="L62" i="123"/>
  <c r="F62" i="123"/>
  <c r="N62" i="123"/>
  <c r="H62" i="123"/>
  <c r="E62" i="123"/>
  <c r="M62" i="123"/>
  <c r="G62" i="123"/>
  <c r="K62" i="123"/>
  <c r="O62" i="123"/>
  <c r="I47" i="123"/>
  <c r="O47" i="123"/>
  <c r="H47" i="123"/>
  <c r="F42" i="123"/>
  <c r="O42" i="123"/>
  <c r="D42" i="123"/>
  <c r="L42" i="123"/>
  <c r="O22" i="123"/>
  <c r="F22" i="123"/>
  <c r="G37" i="123"/>
  <c r="K17" i="123"/>
  <c r="D37" i="123"/>
  <c r="H37" i="123"/>
  <c r="L37" i="123"/>
  <c r="F37" i="123"/>
  <c r="J17" i="123"/>
  <c r="K37" i="123"/>
  <c r="F17" i="123"/>
  <c r="P31" i="123"/>
  <c r="P32" i="123" s="1"/>
  <c r="L32" i="123"/>
  <c r="H17" i="123"/>
  <c r="L17" i="123"/>
  <c r="K32" i="123"/>
  <c r="O32" i="123"/>
  <c r="M32" i="123"/>
  <c r="F32" i="123"/>
  <c r="J32" i="123"/>
  <c r="N32" i="123"/>
  <c r="D22" i="123"/>
  <c r="O25" i="117"/>
  <c r="O26" i="117" s="1"/>
  <c r="N25" i="117"/>
  <c r="M25" i="117"/>
  <c r="L25" i="117"/>
  <c r="K25" i="117"/>
  <c r="J25" i="117"/>
  <c r="I25" i="117"/>
  <c r="H25" i="117"/>
  <c r="G25" i="117"/>
  <c r="G26" i="117" s="1"/>
  <c r="G27" i="117" s="1"/>
  <c r="F25" i="117"/>
  <c r="E25" i="117"/>
  <c r="E26" i="117" s="1"/>
  <c r="D25" i="117"/>
  <c r="O23" i="117"/>
  <c r="N23" i="117"/>
  <c r="M23" i="117"/>
  <c r="L23" i="117"/>
  <c r="K23" i="117"/>
  <c r="K26" i="117" s="1"/>
  <c r="J23" i="117"/>
  <c r="I23" i="117"/>
  <c r="I26" i="117" s="1"/>
  <c r="H23" i="117"/>
  <c r="G23" i="117"/>
  <c r="F23" i="117"/>
  <c r="E23" i="117"/>
  <c r="D23" i="117"/>
  <c r="F26" i="117"/>
  <c r="F27" i="117" s="1"/>
  <c r="J26" i="117"/>
  <c r="J27" i="126" s="1"/>
  <c r="N26" i="117"/>
  <c r="N27" i="117" s="1"/>
  <c r="P82" i="123"/>
  <c r="P77" i="123"/>
  <c r="P72" i="123"/>
  <c r="P24" i="117"/>
  <c r="P25" i="120"/>
  <c r="P24" i="120"/>
  <c r="O26" i="123"/>
  <c r="O27" i="124"/>
  <c r="N26" i="123"/>
  <c r="N27" i="124"/>
  <c r="L26" i="123"/>
  <c r="L27" i="123" s="1"/>
  <c r="L27" i="124"/>
  <c r="K26" i="123"/>
  <c r="K27" i="124" s="1"/>
  <c r="J26" i="123"/>
  <c r="J27" i="123" s="1"/>
  <c r="J27" i="124"/>
  <c r="I26" i="123"/>
  <c r="I27" i="124"/>
  <c r="H26" i="123"/>
  <c r="H27" i="124"/>
  <c r="G26" i="123"/>
  <c r="G27" i="124" s="1"/>
  <c r="F26" i="123"/>
  <c r="F27" i="123" s="1"/>
  <c r="F27" i="124"/>
  <c r="E26" i="123"/>
  <c r="J27" i="117"/>
  <c r="E27" i="124"/>
  <c r="N27" i="123"/>
  <c r="O27" i="123"/>
  <c r="E27" i="123"/>
  <c r="I27" i="123"/>
  <c r="M27" i="123"/>
  <c r="K27" i="123"/>
  <c r="H27" i="123"/>
  <c r="D4" i="117"/>
  <c r="E4" i="117"/>
  <c r="F4" i="117"/>
  <c r="G4" i="117"/>
  <c r="G89" i="117" s="1"/>
  <c r="H4" i="117"/>
  <c r="I4" i="117"/>
  <c r="J4" i="117"/>
  <c r="K4" i="117"/>
  <c r="L4" i="117"/>
  <c r="M4" i="117"/>
  <c r="N4" i="117"/>
  <c r="O4" i="117"/>
  <c r="O89" i="117" s="1"/>
  <c r="D5" i="117"/>
  <c r="E5" i="117"/>
  <c r="F5" i="117"/>
  <c r="G5" i="117"/>
  <c r="H5" i="117"/>
  <c r="I5" i="117"/>
  <c r="J5" i="117"/>
  <c r="K5" i="117"/>
  <c r="K6" i="117" s="1"/>
  <c r="L5" i="117"/>
  <c r="M5" i="117"/>
  <c r="N5" i="117"/>
  <c r="O5" i="117"/>
  <c r="D3" i="117"/>
  <c r="O6" i="123"/>
  <c r="O7" i="124" s="1"/>
  <c r="N6" i="123"/>
  <c r="N7" i="124"/>
  <c r="M6" i="123"/>
  <c r="M7" i="124" s="1"/>
  <c r="K6" i="123"/>
  <c r="J6" i="123"/>
  <c r="J7" i="124" s="1"/>
  <c r="I6" i="123"/>
  <c r="I7" i="123" s="1"/>
  <c r="I7" i="124"/>
  <c r="H6" i="123"/>
  <c r="G6" i="123"/>
  <c r="G7" i="123" s="1"/>
  <c r="E7" i="124"/>
  <c r="D7" i="124"/>
  <c r="E6" i="120"/>
  <c r="F6" i="120"/>
  <c r="F7" i="125"/>
  <c r="G6" i="120"/>
  <c r="G7" i="120" s="1"/>
  <c r="H6" i="120"/>
  <c r="H7" i="125" s="1"/>
  <c r="I6" i="120"/>
  <c r="I7" i="120" s="1"/>
  <c r="J6" i="120"/>
  <c r="J7" i="120" s="1"/>
  <c r="J7" i="125"/>
  <c r="K6" i="120"/>
  <c r="K7" i="120" s="1"/>
  <c r="D6" i="120"/>
  <c r="D7" i="120" s="1"/>
  <c r="P5" i="120"/>
  <c r="P4" i="120"/>
  <c r="P3" i="120"/>
  <c r="L7" i="120"/>
  <c r="M7" i="120"/>
  <c r="N7" i="120"/>
  <c r="O7" i="120"/>
  <c r="R6" i="123"/>
  <c r="F7" i="120"/>
  <c r="H7" i="120"/>
  <c r="F6" i="117"/>
  <c r="F7" i="117" s="1"/>
  <c r="M7" i="123"/>
  <c r="N7" i="123"/>
  <c r="L7" i="123"/>
  <c r="D6" i="117"/>
  <c r="P3" i="112"/>
  <c r="E85" i="113"/>
  <c r="P4" i="112"/>
  <c r="O60" i="111"/>
  <c r="N60" i="111"/>
  <c r="M60" i="111"/>
  <c r="O59" i="111"/>
  <c r="N59" i="111"/>
  <c r="M59" i="111"/>
  <c r="O40" i="112"/>
  <c r="N40" i="112"/>
  <c r="M40" i="112"/>
  <c r="M39" i="112"/>
  <c r="E40" i="112"/>
  <c r="O39" i="112"/>
  <c r="N39" i="112"/>
  <c r="O85" i="113"/>
  <c r="N85" i="113"/>
  <c r="M85" i="113"/>
  <c r="L85" i="113"/>
  <c r="K85" i="113"/>
  <c r="J85" i="113"/>
  <c r="I85" i="113"/>
  <c r="H85" i="113"/>
  <c r="F85" i="113"/>
  <c r="D85" i="113"/>
  <c r="O84" i="113"/>
  <c r="M84" i="113"/>
  <c r="L84" i="113"/>
  <c r="K84" i="113"/>
  <c r="J84" i="113"/>
  <c r="P10" i="113"/>
  <c r="P14" i="113"/>
  <c r="P15" i="113"/>
  <c r="P19" i="113"/>
  <c r="P20" i="113"/>
  <c r="P24" i="113"/>
  <c r="P25" i="113"/>
  <c r="P29" i="113"/>
  <c r="P30" i="113"/>
  <c r="P34" i="113"/>
  <c r="P35" i="113"/>
  <c r="P39" i="113"/>
  <c r="P40" i="113"/>
  <c r="P44" i="113"/>
  <c r="P45" i="113"/>
  <c r="P54" i="113"/>
  <c r="P55" i="113"/>
  <c r="P59" i="113"/>
  <c r="P60" i="113"/>
  <c r="P64" i="113"/>
  <c r="P65" i="113"/>
  <c r="P69" i="113"/>
  <c r="P70" i="113"/>
  <c r="P74" i="113"/>
  <c r="P75" i="113"/>
  <c r="P80" i="113"/>
  <c r="P8" i="112"/>
  <c r="P12" i="112"/>
  <c r="P16" i="112"/>
  <c r="P24" i="112"/>
  <c r="P27" i="112"/>
  <c r="P28" i="112"/>
  <c r="P31" i="112"/>
  <c r="P35" i="112"/>
  <c r="P56" i="111"/>
  <c r="P52" i="111"/>
  <c r="P48" i="111"/>
  <c r="P44" i="111"/>
  <c r="P39" i="111"/>
  <c r="P32" i="111"/>
  <c r="P28" i="111"/>
  <c r="P24" i="111"/>
  <c r="P20" i="111"/>
  <c r="P11" i="111"/>
  <c r="P7" i="111"/>
  <c r="P5" i="113"/>
  <c r="T5" i="127" s="1"/>
  <c r="P3" i="113"/>
  <c r="T3" i="127" s="1"/>
  <c r="P23" i="111"/>
  <c r="P19" i="111"/>
  <c r="I39" i="112"/>
  <c r="I41" i="112" s="1"/>
  <c r="I42" i="112" s="1"/>
  <c r="G59" i="111"/>
  <c r="G40" i="112"/>
  <c r="G60" i="111"/>
  <c r="P63" i="113"/>
  <c r="P5" i="112"/>
  <c r="P6" i="128" s="1"/>
  <c r="P25" i="111"/>
  <c r="P26" i="111" s="1"/>
  <c r="G39" i="112"/>
  <c r="F60" i="111"/>
  <c r="I60" i="111"/>
  <c r="P29" i="112"/>
  <c r="P30" i="128" s="1"/>
  <c r="P30" i="112"/>
  <c r="O41" i="112"/>
  <c r="O42" i="112" s="1"/>
  <c r="N41" i="112"/>
  <c r="N42" i="128" s="1"/>
  <c r="M62" i="111"/>
  <c r="H60" i="111"/>
  <c r="F64" i="129" s="1"/>
  <c r="E39" i="112"/>
  <c r="F40" i="112"/>
  <c r="L40" i="112"/>
  <c r="L39" i="112"/>
  <c r="L41" i="112" s="1"/>
  <c r="L59" i="111"/>
  <c r="P40" i="111"/>
  <c r="H40" i="112"/>
  <c r="P27" i="111"/>
  <c r="F39" i="112"/>
  <c r="F41" i="112" s="1"/>
  <c r="K40" i="112"/>
  <c r="P4" i="111"/>
  <c r="D60" i="111"/>
  <c r="D84" i="113"/>
  <c r="P4" i="113"/>
  <c r="T4" i="127"/>
  <c r="P36" i="111"/>
  <c r="D39" i="112"/>
  <c r="D41" i="112" s="1"/>
  <c r="P11" i="112"/>
  <c r="P20" i="112"/>
  <c r="E84" i="113"/>
  <c r="P49" i="113"/>
  <c r="P3" i="111"/>
  <c r="P55" i="111"/>
  <c r="P18" i="113"/>
  <c r="P78" i="113"/>
  <c r="P35" i="111"/>
  <c r="G84" i="113"/>
  <c r="P8" i="111"/>
  <c r="P8" i="113"/>
  <c r="I84" i="113"/>
  <c r="G85" i="113"/>
  <c r="P43" i="111"/>
  <c r="P58" i="113"/>
  <c r="P13" i="111"/>
  <c r="H84" i="113"/>
  <c r="P15" i="112"/>
  <c r="P12" i="111"/>
  <c r="P17" i="112"/>
  <c r="P18" i="112" s="1"/>
  <c r="P21" i="111"/>
  <c r="E60" i="111"/>
  <c r="P49" i="111"/>
  <c r="P50" i="111" s="1"/>
  <c r="P47" i="111"/>
  <c r="I59" i="111"/>
  <c r="J39" i="112"/>
  <c r="J41" i="112" s="1"/>
  <c r="J42" i="112" s="1"/>
  <c r="J60" i="111"/>
  <c r="P57" i="111"/>
  <c r="P58" i="129" s="1"/>
  <c r="D59" i="111"/>
  <c r="P36" i="112"/>
  <c r="P7" i="112"/>
  <c r="F84" i="113"/>
  <c r="P19" i="112"/>
  <c r="P48" i="113"/>
  <c r="P50" i="113"/>
  <c r="P9" i="113"/>
  <c r="N42" i="112"/>
  <c r="P58" i="111"/>
  <c r="P18" i="128"/>
  <c r="H94" i="127"/>
  <c r="N62" i="111"/>
  <c r="J59" i="111"/>
  <c r="F59" i="111"/>
  <c r="L60" i="111"/>
  <c r="P23" i="112"/>
  <c r="P13" i="112"/>
  <c r="P14" i="112" s="1"/>
  <c r="P14" i="111"/>
  <c r="P32" i="112"/>
  <c r="P45" i="111"/>
  <c r="E59" i="111"/>
  <c r="M73" i="111" s="1"/>
  <c r="H59" i="111"/>
  <c r="K59" i="111"/>
  <c r="P37" i="111"/>
  <c r="P38" i="111" s="1"/>
  <c r="P6" i="111"/>
  <c r="I62" i="111"/>
  <c r="K60" i="111"/>
  <c r="P41" i="111"/>
  <c r="P42" i="111" s="1"/>
  <c r="K39" i="112"/>
  <c r="P31" i="111"/>
  <c r="P11" i="113"/>
  <c r="P21" i="112"/>
  <c r="P22" i="128" s="1"/>
  <c r="P37" i="112"/>
  <c r="P38" i="112" s="1"/>
  <c r="P51" i="111"/>
  <c r="J40" i="112"/>
  <c r="P9" i="112"/>
  <c r="P10" i="112" s="1"/>
  <c r="P29" i="111"/>
  <c r="P30" i="111" s="1"/>
  <c r="P18" i="111"/>
  <c r="H39" i="112"/>
  <c r="P33" i="111"/>
  <c r="P34" i="111" s="1"/>
  <c r="I40" i="112"/>
  <c r="P39" i="112"/>
  <c r="K41" i="112"/>
  <c r="K42" i="128" s="1"/>
  <c r="P53" i="111"/>
  <c r="P54" i="111" s="1"/>
  <c r="O62" i="111"/>
  <c r="H62" i="111"/>
  <c r="L62" i="111"/>
  <c r="J62" i="111"/>
  <c r="K62" i="111"/>
  <c r="P33" i="112"/>
  <c r="P34" i="112" s="1"/>
  <c r="E62" i="111"/>
  <c r="G62" i="111"/>
  <c r="P25" i="112"/>
  <c r="P26" i="112" s="1"/>
  <c r="G51" i="143"/>
  <c r="G52" i="143" s="1"/>
  <c r="G31" i="143"/>
  <c r="G32" i="143" s="1"/>
  <c r="I42" i="140"/>
  <c r="F27" i="145"/>
  <c r="M37" i="142"/>
  <c r="E17" i="142"/>
  <c r="E14" i="140"/>
  <c r="P9" i="144"/>
  <c r="D10" i="145"/>
  <c r="I16" i="144"/>
  <c r="I14" i="145"/>
  <c r="D9" i="145"/>
  <c r="P8" i="144"/>
  <c r="D8" i="145"/>
  <c r="P8" i="145" s="1"/>
  <c r="P10" i="144"/>
  <c r="P74" i="145"/>
  <c r="M62" i="142"/>
  <c r="E12" i="142"/>
  <c r="P16" i="142"/>
  <c r="P21" i="140"/>
  <c r="F22" i="142"/>
  <c r="P76" i="142"/>
  <c r="H77" i="142"/>
  <c r="L58" i="140"/>
  <c r="P10" i="126"/>
  <c r="D11" i="126"/>
  <c r="D12" i="145" s="1"/>
  <c r="H6" i="126"/>
  <c r="P59" i="126"/>
  <c r="P78" i="126"/>
  <c r="G11" i="126"/>
  <c r="G61" i="126"/>
  <c r="G76" i="126"/>
  <c r="D71" i="126"/>
  <c r="D41" i="126"/>
  <c r="D6" i="126"/>
  <c r="P35" i="126"/>
  <c r="D36" i="126"/>
  <c r="D61" i="126"/>
  <c r="D62" i="126" s="1"/>
  <c r="P63" i="126"/>
  <c r="I46" i="126"/>
  <c r="P65" i="126"/>
  <c r="G31" i="126"/>
  <c r="D81" i="126"/>
  <c r="D31" i="126"/>
  <c r="P5" i="126"/>
  <c r="P29" i="126"/>
  <c r="P45" i="126"/>
  <c r="E36" i="126"/>
  <c r="H66" i="126"/>
  <c r="D86" i="126"/>
  <c r="I77" i="126"/>
  <c r="O62" i="126"/>
  <c r="F11" i="126"/>
  <c r="N90" i="126"/>
  <c r="N21" i="126"/>
  <c r="N22" i="126" s="1"/>
  <c r="J36" i="126"/>
  <c r="L31" i="126"/>
  <c r="N76" i="126"/>
  <c r="J76" i="126"/>
  <c r="N81" i="126"/>
  <c r="J81" i="126"/>
  <c r="P17" i="126"/>
  <c r="E6" i="126"/>
  <c r="E21" i="126"/>
  <c r="E22" i="126" s="1"/>
  <c r="F76" i="126"/>
  <c r="F77" i="126" s="1"/>
  <c r="G46" i="126"/>
  <c r="I66" i="126"/>
  <c r="K6" i="126"/>
  <c r="M6" i="126"/>
  <c r="M7" i="145" s="1"/>
  <c r="J90" i="126"/>
  <c r="P11" i="142"/>
  <c r="J6" i="140"/>
  <c r="K6" i="140"/>
  <c r="L6" i="140"/>
  <c r="P36" i="144"/>
  <c r="R36" i="144" s="1"/>
  <c r="D46" i="140"/>
  <c r="P5" i="141"/>
  <c r="D6" i="140"/>
  <c r="P61" i="142"/>
  <c r="P57" i="140"/>
  <c r="L46" i="140"/>
  <c r="P23" i="145"/>
  <c r="K58" i="140"/>
  <c r="K54" i="140"/>
  <c r="P41" i="140"/>
  <c r="P33" i="140"/>
  <c r="P34" i="140"/>
  <c r="P29" i="140"/>
  <c r="P25" i="140"/>
  <c r="E41" i="145"/>
  <c r="F36" i="145"/>
  <c r="H26" i="145"/>
  <c r="G26" i="145"/>
  <c r="G27" i="145" s="1"/>
  <c r="I26" i="145"/>
  <c r="I27" i="145" s="1"/>
  <c r="P17" i="145"/>
  <c r="D34" i="140"/>
  <c r="P13" i="140"/>
  <c r="P9" i="140"/>
  <c r="P5" i="140"/>
  <c r="P6" i="140" s="1"/>
  <c r="O26" i="140"/>
  <c r="O26" i="129"/>
  <c r="P23" i="129"/>
  <c r="P25" i="129" s="1"/>
  <c r="P26" i="129" s="1"/>
  <c r="I72" i="129"/>
  <c r="G77" i="126"/>
  <c r="E27" i="145"/>
  <c r="J27" i="145"/>
  <c r="H27" i="145"/>
  <c r="N72" i="143"/>
  <c r="N52" i="144"/>
  <c r="N52" i="151"/>
  <c r="E52" i="144"/>
  <c r="L52" i="144"/>
  <c r="L52" i="151"/>
  <c r="F52" i="144"/>
  <c r="M52" i="144"/>
  <c r="M52" i="151"/>
  <c r="I52" i="144"/>
  <c r="D52" i="144"/>
  <c r="W51" i="144"/>
  <c r="G52" i="144"/>
  <c r="K52" i="144"/>
  <c r="O52" i="144"/>
  <c r="O52" i="151"/>
  <c r="I47" i="144"/>
  <c r="M47" i="144"/>
  <c r="O47" i="144"/>
  <c r="K47" i="144"/>
  <c r="F47" i="144"/>
  <c r="H47" i="144"/>
  <c r="L47" i="144"/>
  <c r="N47" i="144"/>
  <c r="W46" i="144"/>
  <c r="H47" i="143"/>
  <c r="J47" i="143"/>
  <c r="E47" i="143"/>
  <c r="K47" i="143"/>
  <c r="M47" i="143"/>
  <c r="L32" i="144"/>
  <c r="M32" i="144"/>
  <c r="O32" i="144"/>
  <c r="O82" i="144"/>
  <c r="N86" i="145"/>
  <c r="N87" i="152" s="1"/>
  <c r="E82" i="143"/>
  <c r="J82" i="143"/>
  <c r="H82" i="143"/>
  <c r="R76" i="143"/>
  <c r="O77" i="143"/>
  <c r="W21" i="144"/>
  <c r="E22" i="144"/>
  <c r="G22" i="144"/>
  <c r="I22" i="144"/>
  <c r="K22" i="144"/>
  <c r="M22" i="144"/>
  <c r="O22" i="144"/>
  <c r="F22" i="144"/>
  <c r="H22" i="144"/>
  <c r="J22" i="144"/>
  <c r="L22" i="144"/>
  <c r="N22" i="144"/>
  <c r="D22" i="144"/>
  <c r="R21" i="143"/>
  <c r="R21" i="142"/>
  <c r="N22" i="142"/>
  <c r="N27" i="144"/>
  <c r="P11" i="143"/>
  <c r="L12" i="143"/>
  <c r="M12" i="143"/>
  <c r="R11" i="143"/>
  <c r="H12" i="143"/>
  <c r="F12" i="143"/>
  <c r="I12" i="143"/>
  <c r="E12" i="143"/>
  <c r="D12" i="143"/>
  <c r="P6" i="142"/>
  <c r="O7" i="142"/>
  <c r="M7" i="142"/>
  <c r="K7" i="142"/>
  <c r="I7" i="142"/>
  <c r="R6" i="142"/>
  <c r="M29" i="135"/>
  <c r="E7" i="142"/>
  <c r="N7" i="142"/>
  <c r="L7" i="142"/>
  <c r="J7" i="142"/>
  <c r="G7" i="142"/>
  <c r="C29" i="135"/>
  <c r="O7" i="144"/>
  <c r="N6" i="141"/>
  <c r="L6" i="141"/>
  <c r="J6" i="141"/>
  <c r="H6" i="141"/>
  <c r="N14" i="141"/>
  <c r="L14" i="141"/>
  <c r="I14" i="141"/>
  <c r="G14" i="141"/>
  <c r="M18" i="141"/>
  <c r="K18" i="141"/>
  <c r="H18" i="141"/>
  <c r="O26" i="141"/>
  <c r="M26" i="141"/>
  <c r="L26" i="141"/>
  <c r="H26" i="141"/>
  <c r="D26" i="141"/>
  <c r="J14" i="141"/>
  <c r="R17" i="141"/>
  <c r="O18" i="141"/>
  <c r="D10" i="141"/>
  <c r="D14" i="141"/>
  <c r="R9" i="141"/>
  <c r="E6" i="141"/>
  <c r="E10" i="141"/>
  <c r="F6" i="141"/>
  <c r="N22" i="141"/>
  <c r="N10" i="141"/>
  <c r="L10" i="141"/>
  <c r="J10" i="141"/>
  <c r="H10" i="141"/>
  <c r="F10" i="141"/>
  <c r="I26" i="141"/>
  <c r="E26" i="141"/>
  <c r="J18" i="141"/>
  <c r="E18" i="141"/>
  <c r="D30" i="141"/>
  <c r="F30" i="141"/>
  <c r="H30" i="141"/>
  <c r="J30" i="141"/>
  <c r="L30" i="141"/>
  <c r="N30" i="141"/>
  <c r="R5" i="141"/>
  <c r="R29" i="141"/>
  <c r="R30" i="141"/>
  <c r="N63" i="117"/>
  <c r="N66" i="117" s="1"/>
  <c r="I28" i="117"/>
  <c r="I31" i="117" s="1"/>
  <c r="I32" i="117" s="1"/>
  <c r="P61" i="144"/>
  <c r="R61" i="144" s="1"/>
  <c r="P81" i="144"/>
  <c r="P76" i="144"/>
  <c r="R76" i="144" s="1"/>
  <c r="R41" i="144"/>
  <c r="P26" i="144"/>
  <c r="R26" i="144" s="1"/>
  <c r="R21" i="144"/>
  <c r="P51" i="144"/>
  <c r="R51" i="144" s="1"/>
  <c r="P26" i="142"/>
  <c r="H76" i="145"/>
  <c r="D76" i="145"/>
  <c r="E76" i="145"/>
  <c r="D27" i="145"/>
  <c r="R71" i="144"/>
  <c r="H41" i="113"/>
  <c r="H42" i="113" s="1"/>
  <c r="F46" i="113"/>
  <c r="H63" i="117"/>
  <c r="H66" i="117" s="1"/>
  <c r="M63" i="117"/>
  <c r="G95" i="124"/>
  <c r="J63" i="117"/>
  <c r="J66" i="117" s="1"/>
  <c r="N26" i="113"/>
  <c r="N27" i="113" s="1"/>
  <c r="H87" i="120"/>
  <c r="I87" i="120"/>
  <c r="E87" i="120"/>
  <c r="M86" i="120"/>
  <c r="M87" i="120" s="1"/>
  <c r="S85" i="120"/>
  <c r="J86" i="120"/>
  <c r="J87" i="120" s="1"/>
  <c r="S83" i="120"/>
  <c r="S84" i="120"/>
  <c r="H57" i="123"/>
  <c r="H95" i="127"/>
  <c r="P56" i="120"/>
  <c r="S55" i="120" s="1"/>
  <c r="F86" i="120"/>
  <c r="J57" i="124"/>
  <c r="R56" i="123"/>
  <c r="P56" i="123"/>
  <c r="S53" i="123" s="1"/>
  <c r="D57" i="123"/>
  <c r="G57" i="124"/>
  <c r="O57" i="124"/>
  <c r="E57" i="124"/>
  <c r="I57" i="124"/>
  <c r="M57" i="124"/>
  <c r="L57" i="124"/>
  <c r="F57" i="124"/>
  <c r="K57" i="124"/>
  <c r="P56" i="124"/>
  <c r="O57" i="143"/>
  <c r="T56" i="125"/>
  <c r="D57" i="124"/>
  <c r="I57" i="143"/>
  <c r="R56" i="124"/>
  <c r="F57" i="143"/>
  <c r="K57" i="143"/>
  <c r="P56" i="125"/>
  <c r="N86" i="125"/>
  <c r="E57" i="125"/>
  <c r="H86" i="125"/>
  <c r="H87" i="125" s="1"/>
  <c r="E86" i="125"/>
  <c r="E87" i="125" s="1"/>
  <c r="J57" i="144"/>
  <c r="H57" i="144"/>
  <c r="D86" i="125"/>
  <c r="D87" i="125" s="1"/>
  <c r="W56" i="125"/>
  <c r="F86" i="125"/>
  <c r="G57" i="144"/>
  <c r="I57" i="144"/>
  <c r="H10" i="79"/>
  <c r="N52" i="127"/>
  <c r="L52" i="127"/>
  <c r="P80" i="127"/>
  <c r="I52" i="142"/>
  <c r="P51" i="127"/>
  <c r="P52" i="127" s="1"/>
  <c r="F52" i="127"/>
  <c r="D81" i="127"/>
  <c r="S51" i="127"/>
  <c r="K52" i="142"/>
  <c r="G52" i="142"/>
  <c r="F81" i="127"/>
  <c r="N52" i="142"/>
  <c r="J52" i="142"/>
  <c r="N52" i="123"/>
  <c r="I52" i="124"/>
  <c r="K52" i="124"/>
  <c r="H52" i="124"/>
  <c r="O51" i="117"/>
  <c r="O52" i="117"/>
  <c r="K51" i="117"/>
  <c r="G51" i="117"/>
  <c r="G52" i="117" s="1"/>
  <c r="F86" i="123"/>
  <c r="O86" i="123"/>
  <c r="O87" i="123" s="1"/>
  <c r="K86" i="123"/>
  <c r="G52" i="113"/>
  <c r="D86" i="123"/>
  <c r="T87" i="124" s="1"/>
  <c r="T88" i="124" s="1"/>
  <c r="F52" i="124"/>
  <c r="K51" i="126"/>
  <c r="I95" i="113"/>
  <c r="U80" i="127"/>
  <c r="L86" i="123"/>
  <c r="H86" i="123"/>
  <c r="H87" i="123" s="1"/>
  <c r="O51" i="126"/>
  <c r="O52" i="126" s="1"/>
  <c r="I91" i="123"/>
  <c r="M86" i="123"/>
  <c r="D86" i="124"/>
  <c r="T86" i="124"/>
  <c r="N86" i="124"/>
  <c r="M52" i="143"/>
  <c r="E86" i="124"/>
  <c r="P51" i="124"/>
  <c r="P52" i="124" s="1"/>
  <c r="I52" i="113"/>
  <c r="N51" i="117"/>
  <c r="J52" i="127"/>
  <c r="P51" i="123"/>
  <c r="P52" i="123" s="1"/>
  <c r="F51" i="117"/>
  <c r="J52" i="123"/>
  <c r="J51" i="117"/>
  <c r="D51" i="117"/>
  <c r="K52" i="127"/>
  <c r="M52" i="124"/>
  <c r="O52" i="124"/>
  <c r="P49" i="126"/>
  <c r="N86" i="123"/>
  <c r="J86" i="123"/>
  <c r="E52" i="124"/>
  <c r="O86" i="124"/>
  <c r="K86" i="124"/>
  <c r="L86" i="124"/>
  <c r="L87" i="124" s="1"/>
  <c r="O52" i="143"/>
  <c r="P48" i="117"/>
  <c r="L51" i="117"/>
  <c r="F52" i="113"/>
  <c r="M52" i="127"/>
  <c r="T51" i="123"/>
  <c r="E51" i="126"/>
  <c r="E52" i="145" s="1"/>
  <c r="G96" i="124"/>
  <c r="H51" i="117"/>
  <c r="H52" i="117"/>
  <c r="I86" i="123"/>
  <c r="D90" i="117"/>
  <c r="O52" i="113"/>
  <c r="H52" i="127"/>
  <c r="H52" i="123"/>
  <c r="E86" i="123"/>
  <c r="E87" i="123" s="1"/>
  <c r="J52" i="143"/>
  <c r="N52" i="143"/>
  <c r="I51" i="117"/>
  <c r="P51" i="143"/>
  <c r="T51" i="125"/>
  <c r="R51" i="125" s="1"/>
  <c r="E89" i="126"/>
  <c r="F51" i="126"/>
  <c r="F52" i="126" s="1"/>
  <c r="I86" i="124"/>
  <c r="N51" i="126"/>
  <c r="J51" i="126"/>
  <c r="M51" i="126"/>
  <c r="T51" i="113"/>
  <c r="I93" i="123"/>
  <c r="T84" i="125"/>
  <c r="G94" i="124"/>
  <c r="P50" i="126"/>
  <c r="I51" i="126"/>
  <c r="P49" i="117"/>
  <c r="E52" i="143"/>
  <c r="L52" i="143"/>
  <c r="G86" i="123"/>
  <c r="I89" i="117"/>
  <c r="P48" i="126"/>
  <c r="I92" i="123"/>
  <c r="T85" i="125"/>
  <c r="P51" i="113"/>
  <c r="E52" i="127"/>
  <c r="F86" i="124"/>
  <c r="G86" i="124"/>
  <c r="I90" i="126"/>
  <c r="H51" i="126"/>
  <c r="I52" i="143"/>
  <c r="N89" i="126"/>
  <c r="G51" i="126"/>
  <c r="E51" i="117"/>
  <c r="D52" i="124"/>
  <c r="D51" i="126"/>
  <c r="P85" i="124"/>
  <c r="F52" i="143"/>
  <c r="K52" i="143"/>
  <c r="O52" i="149"/>
  <c r="R85" i="124"/>
  <c r="L90" i="126"/>
  <c r="H52" i="143"/>
  <c r="H51" i="145"/>
  <c r="D51" i="145"/>
  <c r="D52" i="143"/>
  <c r="P6" i="144"/>
  <c r="H11" i="138"/>
  <c r="N7" i="151"/>
  <c r="F7" i="144"/>
  <c r="L7" i="144"/>
  <c r="D7" i="144"/>
  <c r="H10" i="138"/>
  <c r="P83" i="144"/>
  <c r="H12" i="138"/>
  <c r="M6" i="145"/>
  <c r="M7" i="152"/>
  <c r="G7" i="143"/>
  <c r="N7" i="143"/>
  <c r="H6" i="145"/>
  <c r="G6" i="145"/>
  <c r="P6" i="145" s="1"/>
  <c r="P6" i="143"/>
  <c r="L7" i="143"/>
  <c r="L27" i="152"/>
  <c r="L27" i="145"/>
  <c r="P36" i="143"/>
  <c r="P76" i="143"/>
  <c r="M11" i="145"/>
  <c r="D17" i="149"/>
  <c r="O17" i="149"/>
  <c r="H67" i="149"/>
  <c r="L67" i="149"/>
  <c r="R71" i="143"/>
  <c r="O11" i="145"/>
  <c r="O12" i="145" s="1"/>
  <c r="M29" i="143"/>
  <c r="P71" i="143"/>
  <c r="D7" i="143"/>
  <c r="N12" i="143"/>
  <c r="H16" i="143"/>
  <c r="H17" i="143" s="1"/>
  <c r="K61" i="145"/>
  <c r="K62" i="145" s="1"/>
  <c r="K51" i="145"/>
  <c r="R66" i="143"/>
  <c r="J7" i="143"/>
  <c r="M82" i="143"/>
  <c r="H14" i="145"/>
  <c r="L62" i="143"/>
  <c r="P61" i="143"/>
  <c r="J46" i="145"/>
  <c r="G46" i="145"/>
  <c r="G47" i="145" s="1"/>
  <c r="K46" i="145"/>
  <c r="M36" i="145"/>
  <c r="M37" i="152" s="1"/>
  <c r="M51" i="145"/>
  <c r="M52" i="145" s="1"/>
  <c r="M86" i="145"/>
  <c r="N61" i="145"/>
  <c r="N41" i="145"/>
  <c r="N42" i="152" s="1"/>
  <c r="O82" i="149"/>
  <c r="H72" i="149"/>
  <c r="O86" i="145"/>
  <c r="D47" i="143"/>
  <c r="O71" i="145"/>
  <c r="K7" i="143"/>
  <c r="P49" i="145"/>
  <c r="E51" i="145"/>
  <c r="K14" i="145"/>
  <c r="K89" i="145" s="1"/>
  <c r="J66" i="135" s="1"/>
  <c r="K16" i="143"/>
  <c r="K17" i="149" s="1"/>
  <c r="K84" i="143"/>
  <c r="K86" i="143" s="1"/>
  <c r="J35" i="135" s="1"/>
  <c r="P14" i="143"/>
  <c r="G12" i="143"/>
  <c r="N47" i="149"/>
  <c r="N47" i="143"/>
  <c r="O27" i="143"/>
  <c r="K12" i="149"/>
  <c r="K12" i="143"/>
  <c r="K77" i="143"/>
  <c r="P46" i="143"/>
  <c r="P25" i="145"/>
  <c r="P9" i="145"/>
  <c r="O37" i="149"/>
  <c r="F62" i="149"/>
  <c r="D82" i="143"/>
  <c r="R81" i="143"/>
  <c r="O83" i="143"/>
  <c r="O29" i="143"/>
  <c r="O29" i="145" s="1"/>
  <c r="O47" i="149"/>
  <c r="I77" i="143"/>
  <c r="P28" i="143"/>
  <c r="P83" i="143" s="1"/>
  <c r="F66" i="145"/>
  <c r="F67" i="145" s="1"/>
  <c r="I81" i="145"/>
  <c r="I82" i="145" s="1"/>
  <c r="P43" i="145"/>
  <c r="F46" i="145"/>
  <c r="P45" i="145"/>
  <c r="R16" i="143"/>
  <c r="D17" i="143"/>
  <c r="N71" i="145"/>
  <c r="L14" i="145"/>
  <c r="L16" i="143"/>
  <c r="L17" i="143" s="1"/>
  <c r="L41" i="145"/>
  <c r="L61" i="145"/>
  <c r="L62" i="152" s="1"/>
  <c r="L86" i="145"/>
  <c r="L87" i="152" s="1"/>
  <c r="L37" i="143"/>
  <c r="R36" i="143"/>
  <c r="D37" i="143"/>
  <c r="O7" i="149"/>
  <c r="M42" i="149"/>
  <c r="K62" i="149"/>
  <c r="O62" i="149"/>
  <c r="R41" i="143"/>
  <c r="D42" i="149"/>
  <c r="H86" i="145"/>
  <c r="H87" i="145" s="1"/>
  <c r="G86" i="145"/>
  <c r="P83" i="145"/>
  <c r="P79" i="145"/>
  <c r="G81" i="145"/>
  <c r="E81" i="145"/>
  <c r="E82" i="145" s="1"/>
  <c r="D81" i="145"/>
  <c r="D82" i="145" s="1"/>
  <c r="E6" i="145"/>
  <c r="E7" i="145" s="1"/>
  <c r="D6" i="145"/>
  <c r="D7" i="145" s="1"/>
  <c r="G51" i="145"/>
  <c r="F51" i="145"/>
  <c r="H11" i="145"/>
  <c r="G11" i="145"/>
  <c r="G12" i="145" s="1"/>
  <c r="H61" i="145"/>
  <c r="F61" i="145"/>
  <c r="P60" i="145"/>
  <c r="G66" i="145"/>
  <c r="P65" i="145"/>
  <c r="G89" i="145"/>
  <c r="F66" i="135" s="1"/>
  <c r="I31" i="145"/>
  <c r="J6" i="145"/>
  <c r="J51" i="145"/>
  <c r="K6" i="145"/>
  <c r="K7" i="145" s="1"/>
  <c r="K31" i="145"/>
  <c r="K32" i="145" s="1"/>
  <c r="M61" i="145"/>
  <c r="M62" i="152" s="1"/>
  <c r="D71" i="145"/>
  <c r="O67" i="149"/>
  <c r="J71" i="145"/>
  <c r="O41" i="145"/>
  <c r="O42" i="152" s="1"/>
  <c r="E89" i="145"/>
  <c r="D66" i="135" s="1"/>
  <c r="K88" i="145"/>
  <c r="J60" i="135"/>
  <c r="P34" i="145"/>
  <c r="G36" i="145"/>
  <c r="K36" i="145"/>
  <c r="G41" i="145"/>
  <c r="K41" i="145"/>
  <c r="H41" i="145"/>
  <c r="M41" i="145"/>
  <c r="M46" i="145"/>
  <c r="M47" i="152" s="1"/>
  <c r="M66" i="145"/>
  <c r="M67" i="152" s="1"/>
  <c r="M81" i="145"/>
  <c r="M82" i="152" s="1"/>
  <c r="N81" i="145"/>
  <c r="N82" i="152" s="1"/>
  <c r="N51" i="145"/>
  <c r="N52" i="152" s="1"/>
  <c r="N46" i="145"/>
  <c r="L36" i="145"/>
  <c r="I17" i="149"/>
  <c r="N72" i="149"/>
  <c r="O77" i="149"/>
  <c r="F71" i="145"/>
  <c r="F72" i="145" s="1"/>
  <c r="I71" i="145"/>
  <c r="O6" i="145"/>
  <c r="O36" i="145"/>
  <c r="O46" i="145"/>
  <c r="O61" i="145"/>
  <c r="O22" i="149"/>
  <c r="E16" i="149"/>
  <c r="E17" i="149" s="1"/>
  <c r="E84" i="149"/>
  <c r="G16" i="149"/>
  <c r="G17" i="149" s="1"/>
  <c r="D14" i="152"/>
  <c r="N22" i="149"/>
  <c r="F84" i="149"/>
  <c r="M21" i="145"/>
  <c r="M22" i="145" s="1"/>
  <c r="G22" i="149"/>
  <c r="M22" i="143"/>
  <c r="E21" i="145"/>
  <c r="E22" i="145"/>
  <c r="I21" i="145"/>
  <c r="L21" i="145"/>
  <c r="L22" i="152" s="1"/>
  <c r="O21" i="145"/>
  <c r="O22" i="152"/>
  <c r="K22" i="143"/>
  <c r="J21" i="145"/>
  <c r="J22" i="145" s="1"/>
  <c r="L22" i="143"/>
  <c r="N21" i="145"/>
  <c r="N22" i="152" s="1"/>
  <c r="J22" i="143"/>
  <c r="N22" i="143"/>
  <c r="H88" i="145"/>
  <c r="H21" i="145"/>
  <c r="G21" i="145"/>
  <c r="I88" i="145"/>
  <c r="H60" i="135"/>
  <c r="F89" i="145"/>
  <c r="E66" i="135" s="1"/>
  <c r="F31" i="145"/>
  <c r="E31" i="145"/>
  <c r="F21" i="145"/>
  <c r="D21" i="145"/>
  <c r="P21" i="143"/>
  <c r="P26" i="143"/>
  <c r="M72" i="152"/>
  <c r="K72" i="145"/>
  <c r="P68" i="145"/>
  <c r="E88" i="145"/>
  <c r="D60" i="135" s="1"/>
  <c r="D11" i="145"/>
  <c r="P4" i="145"/>
  <c r="D61" i="145"/>
  <c r="D62" i="145" s="1"/>
  <c r="M27" i="145"/>
  <c r="P10" i="145"/>
  <c r="H66" i="145"/>
  <c r="I86" i="145"/>
  <c r="K21" i="145"/>
  <c r="P35" i="145"/>
  <c r="H36" i="145"/>
  <c r="I36" i="145"/>
  <c r="P38" i="145"/>
  <c r="P39" i="145"/>
  <c r="P33" i="145"/>
  <c r="H71" i="145"/>
  <c r="O51" i="145"/>
  <c r="L71" i="145"/>
  <c r="L72" i="152" s="1"/>
  <c r="P70" i="145"/>
  <c r="P69" i="145"/>
  <c r="N87" i="145"/>
  <c r="P78" i="145"/>
  <c r="F86" i="145"/>
  <c r="F87" i="145" s="1"/>
  <c r="H90" i="145"/>
  <c r="G72" i="135" s="1"/>
  <c r="P18" i="145"/>
  <c r="I66" i="145"/>
  <c r="J90" i="145"/>
  <c r="I72" i="135" s="1"/>
  <c r="J61" i="145"/>
  <c r="J86" i="145"/>
  <c r="J81" i="145"/>
  <c r="J82" i="145" s="1"/>
  <c r="J31" i="145"/>
  <c r="J41" i="145"/>
  <c r="N66" i="145"/>
  <c r="N67" i="152" s="1"/>
  <c r="N67" i="145"/>
  <c r="J36" i="145"/>
  <c r="F88" i="145"/>
  <c r="E60" i="135" s="1"/>
  <c r="O81" i="145"/>
  <c r="O82" i="152" s="1"/>
  <c r="L6" i="145"/>
  <c r="P80" i="145"/>
  <c r="M37" i="145"/>
  <c r="I47" i="145"/>
  <c r="E90" i="145"/>
  <c r="D72" i="135" s="1"/>
  <c r="P50" i="145"/>
  <c r="F11" i="145"/>
  <c r="G61" i="145"/>
  <c r="G62" i="145" s="1"/>
  <c r="P59" i="145"/>
  <c r="P58" i="145"/>
  <c r="I51" i="145"/>
  <c r="I61" i="145"/>
  <c r="K86" i="145"/>
  <c r="L46" i="145"/>
  <c r="L51" i="145"/>
  <c r="L52" i="152" s="1"/>
  <c r="L81" i="145"/>
  <c r="L82" i="145" s="1"/>
  <c r="O66" i="145"/>
  <c r="O67" i="145" s="1"/>
  <c r="P26" i="145"/>
  <c r="M88" i="145"/>
  <c r="L60" i="135" s="1"/>
  <c r="I89" i="145"/>
  <c r="H66" i="135" s="1"/>
  <c r="H81" i="145"/>
  <c r="F90" i="145"/>
  <c r="F6" i="145"/>
  <c r="P5" i="145"/>
  <c r="I6" i="145"/>
  <c r="I90" i="145"/>
  <c r="H72" i="135" s="1"/>
  <c r="K90" i="145"/>
  <c r="J72" i="135"/>
  <c r="K66" i="145"/>
  <c r="L90" i="145"/>
  <c r="K72" i="135" s="1"/>
  <c r="M42" i="152"/>
  <c r="P63" i="145"/>
  <c r="N90" i="145"/>
  <c r="M72" i="135"/>
  <c r="N6" i="145"/>
  <c r="N7" i="152" s="1"/>
  <c r="O12" i="152"/>
  <c r="P20" i="145"/>
  <c r="P3" i="145"/>
  <c r="G37" i="145"/>
  <c r="J88" i="145"/>
  <c r="I60" i="135" s="1"/>
  <c r="P40" i="145"/>
  <c r="O47" i="152"/>
  <c r="G88" i="145"/>
  <c r="F60" i="135" s="1"/>
  <c r="P48" i="145"/>
  <c r="N88" i="145"/>
  <c r="M60" i="135" s="1"/>
  <c r="K12" i="145"/>
  <c r="I87" i="145"/>
  <c r="D88" i="145"/>
  <c r="C60" i="135" s="1"/>
  <c r="P84" i="145"/>
  <c r="N36" i="145"/>
  <c r="N37" i="152" s="1"/>
  <c r="D36" i="145"/>
  <c r="P13" i="145"/>
  <c r="E86" i="145"/>
  <c r="D86" i="145"/>
  <c r="G90" i="145"/>
  <c r="F72" i="135" s="1"/>
  <c r="D66" i="145"/>
  <c r="K81" i="145"/>
  <c r="D41" i="145"/>
  <c r="M90" i="145"/>
  <c r="L72" i="135" s="1"/>
  <c r="O27" i="145"/>
  <c r="O27" i="152"/>
  <c r="P19" i="145"/>
  <c r="P44" i="145"/>
  <c r="D32" i="143"/>
  <c r="D90" i="145"/>
  <c r="C72" i="135" s="1"/>
  <c r="D31" i="145"/>
  <c r="P85" i="143"/>
  <c r="P79" i="142"/>
  <c r="J38" i="146"/>
  <c r="K37" i="141"/>
  <c r="K38" i="141" s="1"/>
  <c r="D34" i="141"/>
  <c r="H34" i="141"/>
  <c r="G34" i="141"/>
  <c r="E34" i="141"/>
  <c r="K34" i="141"/>
  <c r="P40" i="128"/>
  <c r="R37" i="128"/>
  <c r="P34" i="141" s="1"/>
  <c r="O34" i="141"/>
  <c r="S37" i="128"/>
  <c r="M38" i="141"/>
  <c r="E33" i="147"/>
  <c r="E34" i="147" s="1"/>
  <c r="F37" i="141"/>
  <c r="O34" i="147"/>
  <c r="H34" i="147"/>
  <c r="J37" i="141"/>
  <c r="M34" i="141"/>
  <c r="G34" i="147"/>
  <c r="I34" i="141"/>
  <c r="L34" i="147"/>
  <c r="F33" i="147"/>
  <c r="F34" i="147" s="1"/>
  <c r="R33" i="141"/>
  <c r="R34" i="141" s="1"/>
  <c r="N34" i="141"/>
  <c r="J34" i="141"/>
  <c r="G86" i="144"/>
  <c r="E86" i="144"/>
  <c r="D41" i="135" s="1"/>
  <c r="L12" i="138"/>
  <c r="L57" i="144"/>
  <c r="I86" i="144"/>
  <c r="D57" i="144"/>
  <c r="O57" i="144"/>
  <c r="F57" i="144"/>
  <c r="F86" i="144"/>
  <c r="E41" i="135" s="1"/>
  <c r="P56" i="144"/>
  <c r="R56" i="144" s="1"/>
  <c r="D86" i="144"/>
  <c r="D87" i="144" s="1"/>
  <c r="N86" i="144"/>
  <c r="M41" i="135" s="1"/>
  <c r="H86" i="144"/>
  <c r="G41" i="135" s="1"/>
  <c r="D57" i="151"/>
  <c r="M86" i="144"/>
  <c r="K57" i="144"/>
  <c r="N57" i="144"/>
  <c r="M57" i="144"/>
  <c r="W84" i="144"/>
  <c r="D57" i="143"/>
  <c r="O52" i="142"/>
  <c r="L81" i="142"/>
  <c r="L82" i="142" s="1"/>
  <c r="H23" i="135"/>
  <c r="D47" i="142"/>
  <c r="D81" i="142"/>
  <c r="C11" i="135" s="1"/>
  <c r="H9" i="79"/>
  <c r="N81" i="142"/>
  <c r="M11" i="135" s="1"/>
  <c r="J81" i="142"/>
  <c r="I11" i="135" s="1"/>
  <c r="D44" i="152"/>
  <c r="D89" i="145"/>
  <c r="C66" i="135" s="1"/>
  <c r="D46" i="145"/>
  <c r="P46" i="145" s="1"/>
  <c r="D79" i="148"/>
  <c r="C22" i="135" s="1"/>
  <c r="H52" i="142"/>
  <c r="K29" i="135"/>
  <c r="M52" i="142"/>
  <c r="I29" i="135"/>
  <c r="E52" i="142"/>
  <c r="O81" i="142"/>
  <c r="D52" i="142"/>
  <c r="M81" i="142"/>
  <c r="F52" i="142"/>
  <c r="N52" i="148"/>
  <c r="K81" i="142"/>
  <c r="J11" i="135" s="1"/>
  <c r="P51" i="142"/>
  <c r="G81" i="142"/>
  <c r="F11" i="135" s="1"/>
  <c r="R51" i="142"/>
  <c r="I81" i="142"/>
  <c r="H11" i="135" s="1"/>
  <c r="L52" i="142"/>
  <c r="N37" i="141"/>
  <c r="N38" i="141"/>
  <c r="R21" i="141"/>
  <c r="D38" i="141"/>
  <c r="H22" i="141"/>
  <c r="P36" i="141"/>
  <c r="M22" i="141"/>
  <c r="P35" i="141"/>
  <c r="J22" i="141"/>
  <c r="L22" i="141"/>
  <c r="T33" i="140"/>
  <c r="H38" i="140"/>
  <c r="M38" i="146"/>
  <c r="K38" i="140"/>
  <c r="E38" i="140"/>
  <c r="F38" i="140"/>
  <c r="D38" i="140"/>
  <c r="P60" i="140"/>
  <c r="P37" i="140"/>
  <c r="P38" i="140" s="1"/>
  <c r="P59" i="140"/>
  <c r="O38" i="140"/>
  <c r="I38" i="140"/>
  <c r="T37" i="140"/>
  <c r="J38" i="140"/>
  <c r="G38" i="140"/>
  <c r="R37" i="140"/>
  <c r="F38" i="146"/>
  <c r="O57" i="152"/>
  <c r="F56" i="113"/>
  <c r="F57" i="113" s="1"/>
  <c r="I63" i="117"/>
  <c r="I66" i="117" s="1"/>
  <c r="L78" i="117"/>
  <c r="L81" i="117" s="1"/>
  <c r="L82" i="117" s="1"/>
  <c r="N38" i="117"/>
  <c r="N41" i="117" s="1"/>
  <c r="H28" i="117"/>
  <c r="L10" i="138"/>
  <c r="H78" i="148"/>
  <c r="G16" i="135" s="1"/>
  <c r="P55" i="146"/>
  <c r="F26" i="149"/>
  <c r="F27" i="149" s="1"/>
  <c r="E86" i="143"/>
  <c r="E94" i="149" s="1"/>
  <c r="J86" i="143"/>
  <c r="I35" i="135" s="1"/>
  <c r="I86" i="143"/>
  <c r="I94" i="149" s="1"/>
  <c r="F86" i="143"/>
  <c r="F94" i="149" s="1"/>
  <c r="L8" i="138"/>
  <c r="G57" i="143"/>
  <c r="R84" i="143"/>
  <c r="D86" i="143"/>
  <c r="D94" i="149" s="1"/>
  <c r="O57" i="149"/>
  <c r="E57" i="143"/>
  <c r="H57" i="143"/>
  <c r="J57" i="143"/>
  <c r="L57" i="143"/>
  <c r="N57" i="143"/>
  <c r="P56" i="143"/>
  <c r="R83" i="143"/>
  <c r="G86" i="143"/>
  <c r="G94" i="149" s="1"/>
  <c r="F35" i="135"/>
  <c r="M57" i="143"/>
  <c r="H86" i="143"/>
  <c r="H94" i="149" s="1"/>
  <c r="H8" i="138"/>
  <c r="F83" i="149"/>
  <c r="I27" i="127"/>
  <c r="M43" i="117"/>
  <c r="M46" i="117" s="1"/>
  <c r="G76" i="113"/>
  <c r="G72" i="127" s="1"/>
  <c r="L26" i="113"/>
  <c r="H51" i="148"/>
  <c r="H52" i="148" s="1"/>
  <c r="D76" i="113"/>
  <c r="D72" i="127" s="1"/>
  <c r="F66" i="117"/>
  <c r="O78" i="117"/>
  <c r="O81" i="117" s="1"/>
  <c r="D26" i="113"/>
  <c r="K41" i="113"/>
  <c r="K42" i="113" s="1"/>
  <c r="K38" i="117"/>
  <c r="K41" i="117" s="1"/>
  <c r="K42" i="117" s="1"/>
  <c r="O46" i="113"/>
  <c r="F77" i="113"/>
  <c r="N43" i="117"/>
  <c r="I43" i="117"/>
  <c r="I47" i="113"/>
  <c r="E56" i="113"/>
  <c r="E57" i="127" s="1"/>
  <c r="J76" i="113"/>
  <c r="G56" i="113"/>
  <c r="G57" i="113" s="1"/>
  <c r="G63" i="117"/>
  <c r="G66" i="117" s="1"/>
  <c r="D38" i="117"/>
  <c r="D41" i="117" s="1"/>
  <c r="D42" i="117" s="1"/>
  <c r="L43" i="117"/>
  <c r="L46" i="117" s="1"/>
  <c r="L47" i="117" s="1"/>
  <c r="J26" i="113"/>
  <c r="J27" i="113" s="1"/>
  <c r="H17" i="148"/>
  <c r="G14" i="146"/>
  <c r="F87" i="125"/>
  <c r="S54" i="123"/>
  <c r="S56" i="123"/>
  <c r="T57" i="125"/>
  <c r="R56" i="125"/>
  <c r="P57" i="143"/>
  <c r="R52" i="142"/>
  <c r="K52" i="145"/>
  <c r="K52" i="126"/>
  <c r="O87" i="124"/>
  <c r="N87" i="124"/>
  <c r="J52" i="126"/>
  <c r="F87" i="124"/>
  <c r="E87" i="124"/>
  <c r="H52" i="145"/>
  <c r="K87" i="124"/>
  <c r="I52" i="126"/>
  <c r="J52" i="145"/>
  <c r="I87" i="124"/>
  <c r="N52" i="126"/>
  <c r="N52" i="145"/>
  <c r="P52" i="143"/>
  <c r="P51" i="126"/>
  <c r="V85" i="124"/>
  <c r="D52" i="126"/>
  <c r="G87" i="124"/>
  <c r="G97" i="124"/>
  <c r="P52" i="113"/>
  <c r="G52" i="145"/>
  <c r="D52" i="145"/>
  <c r="H52" i="126"/>
  <c r="H105" i="120"/>
  <c r="R6" i="144"/>
  <c r="H7" i="145"/>
  <c r="O7" i="152"/>
  <c r="I67" i="145"/>
  <c r="M84" i="143"/>
  <c r="M86" i="143"/>
  <c r="J37" i="145"/>
  <c r="M87" i="152"/>
  <c r="O84" i="143"/>
  <c r="O86" i="143" s="1"/>
  <c r="I32" i="145"/>
  <c r="O31" i="143"/>
  <c r="O32" i="149" s="1"/>
  <c r="O37" i="152"/>
  <c r="P51" i="145"/>
  <c r="T51" i="145" s="1"/>
  <c r="O89" i="145"/>
  <c r="N66" i="135" s="1"/>
  <c r="M22" i="152"/>
  <c r="K22" i="145"/>
  <c r="G60" i="135"/>
  <c r="N22" i="145"/>
  <c r="V21" i="145"/>
  <c r="J62" i="145"/>
  <c r="O52" i="145"/>
  <c r="O52" i="152"/>
  <c r="H72" i="145"/>
  <c r="I52" i="145"/>
  <c r="H67" i="145"/>
  <c r="E72" i="135"/>
  <c r="H8" i="139"/>
  <c r="D87" i="145"/>
  <c r="K67" i="145"/>
  <c r="D37" i="145"/>
  <c r="N37" i="145"/>
  <c r="D32" i="145"/>
  <c r="E87" i="144"/>
  <c r="F41" i="135"/>
  <c r="H41" i="135"/>
  <c r="L41" i="135"/>
  <c r="P57" i="144"/>
  <c r="N87" i="144"/>
  <c r="E87" i="143"/>
  <c r="K11" i="135"/>
  <c r="P52" i="142"/>
  <c r="D127" i="148"/>
  <c r="D82" i="142"/>
  <c r="D47" i="145"/>
  <c r="N11" i="135"/>
  <c r="I87" i="143"/>
  <c r="F87" i="143"/>
  <c r="G87" i="143"/>
  <c r="D87" i="143"/>
  <c r="C35" i="135"/>
  <c r="K87" i="143"/>
  <c r="D77" i="113"/>
  <c r="L27" i="113"/>
  <c r="L27" i="127"/>
  <c r="I46" i="117"/>
  <c r="I47" i="126" s="1"/>
  <c r="E57" i="113"/>
  <c r="N46" i="117"/>
  <c r="N47" i="126" s="1"/>
  <c r="O32" i="143"/>
  <c r="N12" i="149" l="1"/>
  <c r="O26" i="147"/>
  <c r="G22" i="146"/>
  <c r="F22" i="146"/>
  <c r="J26" i="146"/>
  <c r="I67" i="117"/>
  <c r="I67" i="126"/>
  <c r="R66" i="120"/>
  <c r="E67" i="120"/>
  <c r="K35" i="147"/>
  <c r="K37" i="147" s="1"/>
  <c r="K38" i="147" s="1"/>
  <c r="K33" i="147"/>
  <c r="K34" i="147" s="1"/>
  <c r="K79" i="152"/>
  <c r="K71" i="148"/>
  <c r="K79" i="148"/>
  <c r="J22" i="135" s="1"/>
  <c r="D72" i="126"/>
  <c r="P5" i="117"/>
  <c r="F37" i="125"/>
  <c r="F37" i="120"/>
  <c r="M37" i="125"/>
  <c r="M37" i="120"/>
  <c r="G12" i="124"/>
  <c r="R11" i="123"/>
  <c r="G12" i="123"/>
  <c r="G37" i="143"/>
  <c r="G37" i="124"/>
  <c r="G47" i="125"/>
  <c r="G47" i="144"/>
  <c r="P4" i="126"/>
  <c r="I6" i="126"/>
  <c r="I7" i="145" s="1"/>
  <c r="L47" i="143"/>
  <c r="L47" i="124"/>
  <c r="N67" i="143"/>
  <c r="N67" i="124"/>
  <c r="P84" i="124"/>
  <c r="V84" i="124" s="1"/>
  <c r="M86" i="124"/>
  <c r="M87" i="124" s="1"/>
  <c r="R84" i="124"/>
  <c r="P6" i="126"/>
  <c r="L72" i="144"/>
  <c r="L72" i="125"/>
  <c r="M61" i="126"/>
  <c r="M62" i="145" s="1"/>
  <c r="P58" i="126"/>
  <c r="P61" i="126" s="1"/>
  <c r="M81" i="126"/>
  <c r="P80" i="126"/>
  <c r="P84" i="126"/>
  <c r="M86" i="126"/>
  <c r="E10" i="129"/>
  <c r="E10" i="140"/>
  <c r="F62" i="145"/>
  <c r="G47" i="124"/>
  <c r="G47" i="123"/>
  <c r="M12" i="152"/>
  <c r="M12" i="145"/>
  <c r="K7" i="124"/>
  <c r="K7" i="123"/>
  <c r="H87" i="144"/>
  <c r="P71" i="145"/>
  <c r="E52" i="126"/>
  <c r="M52" i="152"/>
  <c r="D87" i="123"/>
  <c r="D87" i="124"/>
  <c r="M29" i="145"/>
  <c r="M31" i="145" s="1"/>
  <c r="M31" i="143"/>
  <c r="M32" i="143" s="1"/>
  <c r="E37" i="126"/>
  <c r="E37" i="145"/>
  <c r="P40" i="112"/>
  <c r="E41" i="112"/>
  <c r="J32" i="125"/>
  <c r="J32" i="120"/>
  <c r="I42" i="125"/>
  <c r="I42" i="120"/>
  <c r="L72" i="126"/>
  <c r="L72" i="117"/>
  <c r="F14" i="152"/>
  <c r="F16" i="149"/>
  <c r="F17" i="149" s="1"/>
  <c r="E7" i="125"/>
  <c r="E7" i="120"/>
  <c r="N7" i="145"/>
  <c r="F52" i="145"/>
  <c r="L82" i="126"/>
  <c r="I72" i="145"/>
  <c r="K7" i="117"/>
  <c r="K7" i="126"/>
  <c r="M26" i="117"/>
  <c r="J22" i="124"/>
  <c r="J22" i="123"/>
  <c r="N42" i="124"/>
  <c r="N42" i="123"/>
  <c r="P42" i="120"/>
  <c r="F47" i="120"/>
  <c r="F47" i="125"/>
  <c r="N84" i="117"/>
  <c r="P79" i="113"/>
  <c r="N84" i="113"/>
  <c r="P84" i="113" s="1"/>
  <c r="I30" i="152"/>
  <c r="I26" i="148"/>
  <c r="I80" i="148"/>
  <c r="H28" i="135" s="1"/>
  <c r="R86" i="123"/>
  <c r="E87" i="145"/>
  <c r="P46" i="111"/>
  <c r="P46" i="129"/>
  <c r="K77" i="120"/>
  <c r="K77" i="125"/>
  <c r="I62" i="124"/>
  <c r="I62" i="123"/>
  <c r="P62" i="124"/>
  <c r="P62" i="123"/>
  <c r="P19" i="126"/>
  <c r="I60" i="146"/>
  <c r="P20" i="146"/>
  <c r="I21" i="146"/>
  <c r="I56" i="108"/>
  <c r="I89" i="108"/>
  <c r="L35" i="135"/>
  <c r="C41" i="135"/>
  <c r="L8" i="139"/>
  <c r="E35" i="135"/>
  <c r="D72" i="145"/>
  <c r="F52" i="117"/>
  <c r="T84" i="113"/>
  <c r="I94" i="113"/>
  <c r="E17" i="125"/>
  <c r="E17" i="120"/>
  <c r="I82" i="125"/>
  <c r="I82" i="120"/>
  <c r="J47" i="125"/>
  <c r="F37" i="117"/>
  <c r="D52" i="127"/>
  <c r="D52" i="113"/>
  <c r="R51" i="113"/>
  <c r="I63" i="152"/>
  <c r="I56" i="148"/>
  <c r="I57" i="148" s="1"/>
  <c r="O72" i="145"/>
  <c r="O72" i="152"/>
  <c r="I94" i="123"/>
  <c r="N72" i="145"/>
  <c r="N72" i="152"/>
  <c r="I37" i="123"/>
  <c r="I37" i="124"/>
  <c r="P62" i="125"/>
  <c r="P62" i="120"/>
  <c r="D87" i="120"/>
  <c r="L89" i="117"/>
  <c r="N72" i="126"/>
  <c r="N72" i="117"/>
  <c r="G67" i="117"/>
  <c r="I47" i="117"/>
  <c r="G35" i="135"/>
  <c r="P21" i="145"/>
  <c r="G105" i="120"/>
  <c r="O62" i="145"/>
  <c r="O62" i="152"/>
  <c r="N62" i="152"/>
  <c r="L52" i="124"/>
  <c r="R81" i="144"/>
  <c r="R6" i="120"/>
  <c r="I27" i="126"/>
  <c r="I27" i="117"/>
  <c r="L17" i="125"/>
  <c r="L17" i="120"/>
  <c r="M62" i="125"/>
  <c r="M62" i="120"/>
  <c r="P64" i="126"/>
  <c r="P66" i="126" s="1"/>
  <c r="D66" i="126"/>
  <c r="D67" i="145" s="1"/>
  <c r="M77" i="126"/>
  <c r="M77" i="117"/>
  <c r="F12" i="145"/>
  <c r="I22" i="145"/>
  <c r="N47" i="145"/>
  <c r="N47" i="152"/>
  <c r="M87" i="145"/>
  <c r="P57" i="123"/>
  <c r="O7" i="123"/>
  <c r="D7" i="125"/>
  <c r="L90" i="117"/>
  <c r="H89" i="117"/>
  <c r="G27" i="123"/>
  <c r="O37" i="123"/>
  <c r="K22" i="123"/>
  <c r="R36" i="123"/>
  <c r="J37" i="124"/>
  <c r="M47" i="124"/>
  <c r="K17" i="120"/>
  <c r="N37" i="125"/>
  <c r="P31" i="120"/>
  <c r="I77" i="120"/>
  <c r="F17" i="125"/>
  <c r="F17" i="120"/>
  <c r="P81" i="120"/>
  <c r="R46" i="120"/>
  <c r="D36" i="117"/>
  <c r="M77" i="124"/>
  <c r="M77" i="123"/>
  <c r="G67" i="124"/>
  <c r="D17" i="124"/>
  <c r="I12" i="127"/>
  <c r="I12" i="113"/>
  <c r="M12" i="127"/>
  <c r="N67" i="127"/>
  <c r="N67" i="113"/>
  <c r="F90" i="108"/>
  <c r="F51" i="108"/>
  <c r="E36" i="147"/>
  <c r="E17" i="147"/>
  <c r="E79" i="152"/>
  <c r="E71" i="148"/>
  <c r="H31" i="143"/>
  <c r="H29" i="145"/>
  <c r="G17" i="125"/>
  <c r="P10" i="117"/>
  <c r="K66" i="113"/>
  <c r="K73" i="117"/>
  <c r="K76" i="117" s="1"/>
  <c r="K77" i="117" s="1"/>
  <c r="H31" i="117"/>
  <c r="S79" i="142"/>
  <c r="N77" i="126"/>
  <c r="H41" i="112"/>
  <c r="P14" i="128"/>
  <c r="K7" i="125"/>
  <c r="G7" i="125"/>
  <c r="N89" i="117"/>
  <c r="P23" i="117"/>
  <c r="L26" i="117"/>
  <c r="H26" i="117"/>
  <c r="M22" i="123"/>
  <c r="L22" i="124"/>
  <c r="E47" i="124"/>
  <c r="N47" i="124"/>
  <c r="P46" i="123"/>
  <c r="P47" i="123" s="1"/>
  <c r="O27" i="120"/>
  <c r="G27" i="120"/>
  <c r="F42" i="120"/>
  <c r="R71" i="120"/>
  <c r="P84" i="120"/>
  <c r="P46" i="120"/>
  <c r="J71" i="117"/>
  <c r="O71" i="117"/>
  <c r="O72" i="117" s="1"/>
  <c r="G71" i="117"/>
  <c r="G72" i="117" s="1"/>
  <c r="P79" i="117"/>
  <c r="P85" i="117"/>
  <c r="O12" i="124"/>
  <c r="O12" i="123"/>
  <c r="T4" i="113"/>
  <c r="D6" i="113"/>
  <c r="D12" i="127"/>
  <c r="T11" i="113"/>
  <c r="R11" i="113"/>
  <c r="H36" i="113"/>
  <c r="P81" i="126"/>
  <c r="G41" i="112"/>
  <c r="G42" i="112" s="1"/>
  <c r="M6" i="117"/>
  <c r="F27" i="125"/>
  <c r="F27" i="120"/>
  <c r="P66" i="120"/>
  <c r="J62" i="125"/>
  <c r="L47" i="125"/>
  <c r="H47" i="125"/>
  <c r="P35" i="117"/>
  <c r="H36" i="117"/>
  <c r="H37" i="117" s="1"/>
  <c r="P40" i="117"/>
  <c r="P45" i="117"/>
  <c r="N61" i="117"/>
  <c r="N62" i="117" s="1"/>
  <c r="F61" i="117"/>
  <c r="E61" i="117"/>
  <c r="E62" i="117" s="1"/>
  <c r="P64" i="117"/>
  <c r="H71" i="117"/>
  <c r="P20" i="117"/>
  <c r="P90" i="117" s="1"/>
  <c r="P8" i="126"/>
  <c r="P11" i="126" s="1"/>
  <c r="J3" i="117"/>
  <c r="J6" i="117" s="1"/>
  <c r="J7" i="126" s="1"/>
  <c r="I3" i="117"/>
  <c r="I6" i="113"/>
  <c r="I7" i="127" s="1"/>
  <c r="E12" i="113"/>
  <c r="E12" i="127"/>
  <c r="K84" i="144"/>
  <c r="K86" i="144" s="1"/>
  <c r="K16" i="144"/>
  <c r="K17" i="151" s="1"/>
  <c r="P6" i="112"/>
  <c r="N22" i="123"/>
  <c r="P41" i="123"/>
  <c r="P36" i="120"/>
  <c r="I22" i="126"/>
  <c r="P29" i="117"/>
  <c r="I36" i="117"/>
  <c r="I37" i="117" s="1"/>
  <c r="K12" i="124"/>
  <c r="K12" i="123"/>
  <c r="D47" i="124"/>
  <c r="D17" i="123"/>
  <c r="R16" i="123"/>
  <c r="J7" i="113"/>
  <c r="J7" i="127"/>
  <c r="F22" i="127"/>
  <c r="F22" i="113"/>
  <c r="N22" i="127"/>
  <c r="N22" i="113"/>
  <c r="G32" i="113"/>
  <c r="R31" i="113"/>
  <c r="J7" i="145"/>
  <c r="P14" i="140"/>
  <c r="P34" i="129"/>
  <c r="P22" i="111"/>
  <c r="P6" i="120"/>
  <c r="E22" i="124"/>
  <c r="H32" i="124"/>
  <c r="M37" i="124"/>
  <c r="K47" i="124"/>
  <c r="H27" i="120"/>
  <c r="P26" i="120"/>
  <c r="L82" i="120"/>
  <c r="F72" i="120"/>
  <c r="R41" i="120"/>
  <c r="D82" i="125"/>
  <c r="D82" i="120"/>
  <c r="J72" i="125"/>
  <c r="M86" i="117"/>
  <c r="M87" i="117" s="1"/>
  <c r="H77" i="124"/>
  <c r="H77" i="123"/>
  <c r="O72" i="124"/>
  <c r="P14" i="117"/>
  <c r="D32" i="125"/>
  <c r="F82" i="113"/>
  <c r="F77" i="127"/>
  <c r="N34" i="140"/>
  <c r="N34" i="129"/>
  <c r="D41" i="87"/>
  <c r="P39" i="87"/>
  <c r="P57" i="124"/>
  <c r="P58" i="140"/>
  <c r="M74" i="111"/>
  <c r="N90" i="117"/>
  <c r="F90" i="117"/>
  <c r="P21" i="120"/>
  <c r="O77" i="126"/>
  <c r="H86" i="117"/>
  <c r="P85" i="123"/>
  <c r="L7" i="127"/>
  <c r="L7" i="113"/>
  <c r="L16" i="113"/>
  <c r="L17" i="113" s="1"/>
  <c r="L18" i="117"/>
  <c r="L21" i="117" s="1"/>
  <c r="P6" i="122"/>
  <c r="P83" i="122"/>
  <c r="F31" i="126"/>
  <c r="F32" i="145" s="1"/>
  <c r="P28" i="126"/>
  <c r="P85" i="126"/>
  <c r="P86" i="126" s="1"/>
  <c r="K37" i="142"/>
  <c r="N22" i="140"/>
  <c r="N22" i="129"/>
  <c r="G34" i="140"/>
  <c r="G34" i="129"/>
  <c r="J77" i="125"/>
  <c r="P12" i="123"/>
  <c r="K36" i="117"/>
  <c r="K37" i="117" s="1"/>
  <c r="J36" i="117"/>
  <c r="J37" i="117" s="1"/>
  <c r="H61" i="117"/>
  <c r="H62" i="117" s="1"/>
  <c r="G61" i="117"/>
  <c r="G62" i="117" s="1"/>
  <c r="N86" i="117"/>
  <c r="G77" i="124"/>
  <c r="M12" i="123"/>
  <c r="O11" i="117"/>
  <c r="O12" i="117" s="1"/>
  <c r="G11" i="117"/>
  <c r="G12" i="117" s="1"/>
  <c r="F11" i="117"/>
  <c r="F12" i="117" s="1"/>
  <c r="P44" i="126"/>
  <c r="P68" i="126"/>
  <c r="P71" i="126" s="1"/>
  <c r="F6" i="113"/>
  <c r="F86" i="122"/>
  <c r="F87" i="123" s="1"/>
  <c r="M88" i="108"/>
  <c r="M51" i="108"/>
  <c r="H46" i="126"/>
  <c r="H47" i="145" s="1"/>
  <c r="N61" i="126"/>
  <c r="N62" i="145" s="1"/>
  <c r="G37" i="142"/>
  <c r="G37" i="127"/>
  <c r="F10" i="140"/>
  <c r="F10" i="129"/>
  <c r="E67" i="127"/>
  <c r="P54" i="108"/>
  <c r="P34" i="126"/>
  <c r="P36" i="126" s="1"/>
  <c r="P70" i="126"/>
  <c r="J21" i="113"/>
  <c r="N81" i="113"/>
  <c r="J62" i="113"/>
  <c r="E88" i="108"/>
  <c r="E51" i="108"/>
  <c r="E52" i="117" s="1"/>
  <c r="H89" i="126"/>
  <c r="I21" i="126"/>
  <c r="J42" i="145"/>
  <c r="H78" i="127"/>
  <c r="H81" i="127" s="1"/>
  <c r="I28" i="127"/>
  <c r="H31" i="127"/>
  <c r="I14" i="140"/>
  <c r="I14" i="129"/>
  <c r="J42" i="140"/>
  <c r="J42" i="129"/>
  <c r="W26" i="144"/>
  <c r="D27" i="151"/>
  <c r="K12" i="113"/>
  <c r="K37" i="127"/>
  <c r="T58" i="113"/>
  <c r="K88" i="108"/>
  <c r="K51" i="108"/>
  <c r="K52" i="117" s="1"/>
  <c r="G86" i="120"/>
  <c r="R86" i="120" s="1"/>
  <c r="N86" i="120"/>
  <c r="N87" i="120" s="1"/>
  <c r="M90" i="126"/>
  <c r="F22" i="141"/>
  <c r="F22" i="128"/>
  <c r="L32" i="142"/>
  <c r="L32" i="127"/>
  <c r="M37" i="127"/>
  <c r="E47" i="142"/>
  <c r="L57" i="142"/>
  <c r="R66" i="123"/>
  <c r="N82" i="124"/>
  <c r="P14" i="126"/>
  <c r="D22" i="113"/>
  <c r="H67" i="113"/>
  <c r="D61" i="113"/>
  <c r="T5" i="113"/>
  <c r="T31" i="113"/>
  <c r="P50" i="108"/>
  <c r="P86" i="122"/>
  <c r="L52" i="125"/>
  <c r="L52" i="120"/>
  <c r="E52" i="125"/>
  <c r="E52" i="120"/>
  <c r="E41" i="126"/>
  <c r="E42" i="145" s="1"/>
  <c r="E86" i="126"/>
  <c r="G16" i="125"/>
  <c r="P13" i="125"/>
  <c r="P16" i="125" s="1"/>
  <c r="P17" i="125" s="1"/>
  <c r="G83" i="125"/>
  <c r="L21" i="126"/>
  <c r="L22" i="145" s="1"/>
  <c r="E22" i="140"/>
  <c r="E22" i="141"/>
  <c r="W31" i="144"/>
  <c r="D32" i="151"/>
  <c r="P21" i="123"/>
  <c r="P22" i="124" s="1"/>
  <c r="P36" i="123"/>
  <c r="R21" i="120"/>
  <c r="R61" i="123"/>
  <c r="G36" i="117"/>
  <c r="G37" i="117" s="1"/>
  <c r="L61" i="117"/>
  <c r="F68" i="117"/>
  <c r="F71" i="117" s="1"/>
  <c r="F72" i="126" s="1"/>
  <c r="E71" i="117"/>
  <c r="M12" i="117"/>
  <c r="K11" i="117"/>
  <c r="K12" i="117" s="1"/>
  <c r="R26" i="126"/>
  <c r="P31" i="126"/>
  <c r="T78" i="113"/>
  <c r="F37" i="127"/>
  <c r="F17" i="127"/>
  <c r="M86" i="122"/>
  <c r="M87" i="123" s="1"/>
  <c r="P51" i="120"/>
  <c r="K52" i="125"/>
  <c r="K52" i="120"/>
  <c r="E42" i="144"/>
  <c r="J10" i="140"/>
  <c r="J10" i="129"/>
  <c r="H54" i="140"/>
  <c r="H54" i="129"/>
  <c r="L84" i="144"/>
  <c r="L86" i="144" s="1"/>
  <c r="K41" i="135" s="1"/>
  <c r="L16" i="144"/>
  <c r="P16" i="147"/>
  <c r="I59" i="146"/>
  <c r="M17" i="124"/>
  <c r="L6" i="117"/>
  <c r="L7" i="117" s="1"/>
  <c r="H36" i="126"/>
  <c r="H37" i="145" s="1"/>
  <c r="K42" i="143"/>
  <c r="L17" i="144"/>
  <c r="O53" i="129"/>
  <c r="P51" i="129"/>
  <c r="G6" i="141"/>
  <c r="G6" i="128"/>
  <c r="G32" i="127"/>
  <c r="O86" i="120"/>
  <c r="O87" i="120" s="1"/>
  <c r="P29" i="129"/>
  <c r="G81" i="126"/>
  <c r="G82" i="145" s="1"/>
  <c r="E67" i="144"/>
  <c r="O89" i="126"/>
  <c r="O41" i="126"/>
  <c r="O42" i="145" s="1"/>
  <c r="L61" i="126"/>
  <c r="L62" i="145" s="1"/>
  <c r="L86" i="126"/>
  <c r="L87" i="145" s="1"/>
  <c r="D22" i="140"/>
  <c r="E27" i="142"/>
  <c r="E41" i="87"/>
  <c r="E17" i="151"/>
  <c r="I10" i="141"/>
  <c r="L34" i="141"/>
  <c r="M30" i="141"/>
  <c r="M30" i="147"/>
  <c r="P31" i="147"/>
  <c r="D33" i="147"/>
  <c r="D34" i="147" s="1"/>
  <c r="D80" i="148"/>
  <c r="C28" i="135" s="1"/>
  <c r="L29" i="143"/>
  <c r="L28" i="145"/>
  <c r="L88" i="145" s="1"/>
  <c r="K60" i="135" s="1"/>
  <c r="F30" i="152"/>
  <c r="F80" i="148"/>
  <c r="E28" i="135" s="1"/>
  <c r="F36" i="148"/>
  <c r="F86" i="152"/>
  <c r="R61" i="142"/>
  <c r="E37" i="127"/>
  <c r="P6" i="129"/>
  <c r="G86" i="122"/>
  <c r="G87" i="123" s="1"/>
  <c r="R51" i="120"/>
  <c r="N90" i="108"/>
  <c r="F21" i="126"/>
  <c r="F22" i="145" s="1"/>
  <c r="F36" i="126"/>
  <c r="F37" i="126" s="1"/>
  <c r="G41" i="126"/>
  <c r="I16" i="125"/>
  <c r="I17" i="125" s="1"/>
  <c r="H13" i="126"/>
  <c r="M42" i="144"/>
  <c r="P6" i="124"/>
  <c r="M89" i="126"/>
  <c r="L51" i="126"/>
  <c r="M71" i="126"/>
  <c r="M72" i="145" s="1"/>
  <c r="L76" i="126"/>
  <c r="J86" i="126"/>
  <c r="J87" i="145" s="1"/>
  <c r="R36" i="142"/>
  <c r="R56" i="142"/>
  <c r="G47" i="142"/>
  <c r="K30" i="140"/>
  <c r="M41" i="87"/>
  <c r="F32" i="142"/>
  <c r="G30" i="147"/>
  <c r="H37" i="141"/>
  <c r="H38" i="141" s="1"/>
  <c r="D57" i="146"/>
  <c r="D58" i="146" s="1"/>
  <c r="P56" i="146"/>
  <c r="N86" i="122"/>
  <c r="N87" i="123" s="1"/>
  <c r="H52" i="125"/>
  <c r="G88" i="108"/>
  <c r="L86" i="120"/>
  <c r="E31" i="126"/>
  <c r="E32" i="145" s="1"/>
  <c r="F37" i="144"/>
  <c r="F12" i="124"/>
  <c r="T12" i="125" s="1"/>
  <c r="G89" i="126"/>
  <c r="T89" i="126" s="1"/>
  <c r="G71" i="126"/>
  <c r="R71" i="126" s="1"/>
  <c r="P53" i="129"/>
  <c r="P21" i="129"/>
  <c r="P22" i="140" s="1"/>
  <c r="H41" i="126"/>
  <c r="H42" i="145" s="1"/>
  <c r="H81" i="126"/>
  <c r="H82" i="145" s="1"/>
  <c r="L36" i="126"/>
  <c r="L37" i="145" s="1"/>
  <c r="J71" i="126"/>
  <c r="J72" i="145" s="1"/>
  <c r="K86" i="126"/>
  <c r="D30" i="140"/>
  <c r="E37" i="142"/>
  <c r="E57" i="142"/>
  <c r="H10" i="129"/>
  <c r="M10" i="129"/>
  <c r="F46" i="129"/>
  <c r="J54" i="129"/>
  <c r="J46" i="129"/>
  <c r="F14" i="128"/>
  <c r="N72" i="142"/>
  <c r="P76" i="124"/>
  <c r="P77" i="124" s="1"/>
  <c r="P81" i="125"/>
  <c r="P82" i="144" s="1"/>
  <c r="P26" i="124"/>
  <c r="P31" i="124"/>
  <c r="P32" i="124" s="1"/>
  <c r="N77" i="144"/>
  <c r="P41" i="142"/>
  <c r="P75" i="145"/>
  <c r="P33" i="128"/>
  <c r="P34" i="128" s="1"/>
  <c r="D34" i="128"/>
  <c r="G41" i="128"/>
  <c r="J64" i="145"/>
  <c r="P64" i="144"/>
  <c r="O58" i="146"/>
  <c r="E45" i="152"/>
  <c r="E46" i="148"/>
  <c r="E47" i="148" s="1"/>
  <c r="G31" i="148"/>
  <c r="G78" i="148"/>
  <c r="F16" i="135" s="1"/>
  <c r="E21" i="146"/>
  <c r="E22" i="146" s="1"/>
  <c r="E59" i="146"/>
  <c r="F59" i="146"/>
  <c r="H29" i="152"/>
  <c r="H79" i="148"/>
  <c r="G22" i="135" s="1"/>
  <c r="I78" i="148"/>
  <c r="H16" i="135" s="1"/>
  <c r="J40" i="152"/>
  <c r="J80" i="148"/>
  <c r="I28" i="135" s="1"/>
  <c r="G56" i="117"/>
  <c r="P56" i="117" s="1"/>
  <c r="O56" i="117"/>
  <c r="P52" i="146"/>
  <c r="K89" i="126"/>
  <c r="O21" i="126"/>
  <c r="O10" i="146"/>
  <c r="O10" i="140"/>
  <c r="I22" i="146"/>
  <c r="H42" i="148"/>
  <c r="K67" i="148"/>
  <c r="F58" i="140"/>
  <c r="F17" i="142"/>
  <c r="I30" i="147"/>
  <c r="I30" i="141"/>
  <c r="L66" i="145"/>
  <c r="K32" i="149"/>
  <c r="I16" i="151"/>
  <c r="I17" i="151" s="1"/>
  <c r="I84" i="151"/>
  <c r="I33" i="152"/>
  <c r="J73" i="152"/>
  <c r="J76" i="152" s="1"/>
  <c r="J66" i="148"/>
  <c r="G56" i="108"/>
  <c r="G91" i="108" s="1"/>
  <c r="D61" i="84"/>
  <c r="D62" i="111" s="1"/>
  <c r="P9" i="84"/>
  <c r="J42" i="127"/>
  <c r="I86" i="122"/>
  <c r="I87" i="123" s="1"/>
  <c r="O89" i="108"/>
  <c r="W21" i="125"/>
  <c r="P22" i="144" s="1"/>
  <c r="E61" i="126"/>
  <c r="G27" i="144"/>
  <c r="E81" i="127"/>
  <c r="H21" i="126"/>
  <c r="H22" i="145" s="1"/>
  <c r="H76" i="126"/>
  <c r="H77" i="126" s="1"/>
  <c r="H82" i="144"/>
  <c r="M86" i="125"/>
  <c r="J89" i="126"/>
  <c r="J11" i="126"/>
  <c r="J12" i="145" s="1"/>
  <c r="L41" i="126"/>
  <c r="L42" i="145" s="1"/>
  <c r="M66" i="126"/>
  <c r="M67" i="145" s="1"/>
  <c r="O81" i="126"/>
  <c r="O82" i="145" s="1"/>
  <c r="K81" i="126"/>
  <c r="K82" i="145" s="1"/>
  <c r="O86" i="126"/>
  <c r="O87" i="145" s="1"/>
  <c r="G14" i="129"/>
  <c r="N30" i="129"/>
  <c r="H42" i="129"/>
  <c r="G46" i="129"/>
  <c r="M46" i="129"/>
  <c r="L54" i="129"/>
  <c r="P66" i="125"/>
  <c r="P67" i="125" s="1"/>
  <c r="P46" i="125"/>
  <c r="H34" i="146"/>
  <c r="I27" i="148"/>
  <c r="P73" i="145"/>
  <c r="E29" i="152"/>
  <c r="P29" i="152" s="1"/>
  <c r="E79" i="148"/>
  <c r="D22" i="135" s="1"/>
  <c r="E26" i="148"/>
  <c r="E27" i="148" s="1"/>
  <c r="H40" i="152"/>
  <c r="H41" i="148"/>
  <c r="J41" i="148"/>
  <c r="J78" i="148"/>
  <c r="I16" i="135" s="1"/>
  <c r="K59" i="146"/>
  <c r="K73" i="152"/>
  <c r="K66" i="148"/>
  <c r="R49" i="140"/>
  <c r="R50" i="140" s="1"/>
  <c r="K86" i="122"/>
  <c r="K87" i="123" s="1"/>
  <c r="P84" i="119"/>
  <c r="P86" i="119" s="1"/>
  <c r="P6" i="123"/>
  <c r="P7" i="123" s="1"/>
  <c r="F61" i="126"/>
  <c r="G66" i="126"/>
  <c r="G67" i="126" s="1"/>
  <c r="H11" i="126"/>
  <c r="H12" i="145" s="1"/>
  <c r="I61" i="126"/>
  <c r="I62" i="126" s="1"/>
  <c r="I62" i="144"/>
  <c r="M17" i="125"/>
  <c r="K90" i="126"/>
  <c r="K36" i="126"/>
  <c r="E42" i="146"/>
  <c r="E18" i="147"/>
  <c r="M14" i="140"/>
  <c r="R68" i="127"/>
  <c r="O71" i="127"/>
  <c r="O72" i="142" s="1"/>
  <c r="P71" i="124"/>
  <c r="P72" i="124" s="1"/>
  <c r="P76" i="125"/>
  <c r="P77" i="144" s="1"/>
  <c r="N34" i="146"/>
  <c r="F34" i="140"/>
  <c r="I34" i="147"/>
  <c r="G57" i="148"/>
  <c r="H67" i="148"/>
  <c r="P80" i="142"/>
  <c r="S80" i="142" s="1"/>
  <c r="J41" i="128"/>
  <c r="J38" i="141" s="1"/>
  <c r="N67" i="149"/>
  <c r="F82" i="149"/>
  <c r="N82" i="149"/>
  <c r="F39" i="152"/>
  <c r="F79" i="148"/>
  <c r="E22" i="135" s="1"/>
  <c r="J21" i="146"/>
  <c r="J22" i="146" s="1"/>
  <c r="J60" i="146"/>
  <c r="H73" i="152"/>
  <c r="H76" i="152" s="1"/>
  <c r="H66" i="148"/>
  <c r="H11" i="79"/>
  <c r="F7" i="142"/>
  <c r="P65" i="144"/>
  <c r="F41" i="128"/>
  <c r="J76" i="145"/>
  <c r="N30" i="147"/>
  <c r="F41" i="145"/>
  <c r="F91" i="145" s="1"/>
  <c r="E54" i="135" s="1"/>
  <c r="H59" i="146"/>
  <c r="H16" i="149"/>
  <c r="H17" i="149" s="1"/>
  <c r="G82" i="149"/>
  <c r="I37" i="141"/>
  <c r="I38" i="141" s="1"/>
  <c r="G76" i="148"/>
  <c r="G77" i="148" s="1"/>
  <c r="G66" i="148"/>
  <c r="G67" i="148" s="1"/>
  <c r="H56" i="117"/>
  <c r="H57" i="126" s="1"/>
  <c r="E56" i="117"/>
  <c r="F56" i="108"/>
  <c r="F57" i="117" s="1"/>
  <c r="J56" i="108"/>
  <c r="J57" i="117" s="1"/>
  <c r="H86" i="90"/>
  <c r="O86" i="90"/>
  <c r="K86" i="90"/>
  <c r="E27" i="149"/>
  <c r="H82" i="149"/>
  <c r="O76" i="145"/>
  <c r="P24" i="148"/>
  <c r="P44" i="148"/>
  <c r="H26" i="148"/>
  <c r="G79" i="148"/>
  <c r="F22" i="135" s="1"/>
  <c r="F26" i="148"/>
  <c r="F27" i="148" s="1"/>
  <c r="G56" i="148"/>
  <c r="J71" i="148"/>
  <c r="D56" i="145"/>
  <c r="D91" i="145" s="1"/>
  <c r="C54" i="135" s="1"/>
  <c r="L56" i="126"/>
  <c r="I56" i="117"/>
  <c r="D56" i="108"/>
  <c r="D57" i="117" s="1"/>
  <c r="I86" i="90"/>
  <c r="K87" i="152"/>
  <c r="N17" i="149"/>
  <c r="H32" i="149"/>
  <c r="D37" i="149"/>
  <c r="N37" i="149"/>
  <c r="D52" i="149"/>
  <c r="P17" i="152"/>
  <c r="F42" i="149"/>
  <c r="D29" i="147"/>
  <c r="D30" i="147" s="1"/>
  <c r="P25" i="148"/>
  <c r="P45" i="148"/>
  <c r="H76" i="148"/>
  <c r="F61" i="148"/>
  <c r="F62" i="148" s="1"/>
  <c r="F71" i="148"/>
  <c r="F72" i="148" s="1"/>
  <c r="F46" i="146"/>
  <c r="G41" i="146"/>
  <c r="H21" i="146"/>
  <c r="H22" i="146" s="1"/>
  <c r="H31" i="148"/>
  <c r="H32" i="148" s="1"/>
  <c r="J36" i="148"/>
  <c r="J81" i="152"/>
  <c r="H56" i="145"/>
  <c r="H57" i="145" s="1"/>
  <c r="E56" i="145"/>
  <c r="M56" i="145"/>
  <c r="M56" i="126"/>
  <c r="M57" i="126" s="1"/>
  <c r="E56" i="126"/>
  <c r="E57" i="126" s="1"/>
  <c r="K56" i="126"/>
  <c r="K57" i="126" s="1"/>
  <c r="J53" i="146"/>
  <c r="J54" i="146" s="1"/>
  <c r="M86" i="90"/>
  <c r="H22" i="142"/>
  <c r="J27" i="142"/>
  <c r="H57" i="142"/>
  <c r="K22" i="146"/>
  <c r="N26" i="146"/>
  <c r="J37" i="148"/>
  <c r="P56" i="142"/>
  <c r="P31" i="142"/>
  <c r="F77" i="142"/>
  <c r="G76" i="145"/>
  <c r="P76" i="145" s="1"/>
  <c r="E66" i="145"/>
  <c r="G31" i="145"/>
  <c r="G32" i="145" s="1"/>
  <c r="K76" i="145"/>
  <c r="I32" i="149"/>
  <c r="N42" i="149"/>
  <c r="J82" i="149"/>
  <c r="M72" i="151"/>
  <c r="P54" i="148"/>
  <c r="P14" i="151"/>
  <c r="F18" i="147"/>
  <c r="E46" i="146"/>
  <c r="P64" i="148"/>
  <c r="J56" i="126"/>
  <c r="K56" i="108"/>
  <c r="P49" i="140"/>
  <c r="P50" i="140" s="1"/>
  <c r="P66" i="151"/>
  <c r="P67" i="151" s="1"/>
  <c r="G12" i="142"/>
  <c r="O12" i="142"/>
  <c r="P21" i="127"/>
  <c r="I57" i="142"/>
  <c r="P58" i="127"/>
  <c r="P61" i="127" s="1"/>
  <c r="I62" i="142"/>
  <c r="I67" i="142"/>
  <c r="O77" i="142"/>
  <c r="H41" i="87"/>
  <c r="S16" i="126"/>
  <c r="P21" i="125"/>
  <c r="N82" i="151"/>
  <c r="N10" i="147"/>
  <c r="M26" i="140"/>
  <c r="H30" i="146"/>
  <c r="N26" i="147"/>
  <c r="H42" i="146"/>
  <c r="E61" i="145"/>
  <c r="L41" i="128"/>
  <c r="L38" i="141" s="1"/>
  <c r="J14" i="145"/>
  <c r="F30" i="147"/>
  <c r="L76" i="145"/>
  <c r="L77" i="145" s="1"/>
  <c r="P49" i="146"/>
  <c r="P50" i="146" s="1"/>
  <c r="E12" i="148"/>
  <c r="O12" i="148"/>
  <c r="H37" i="149"/>
  <c r="K82" i="149"/>
  <c r="G71" i="145"/>
  <c r="G72" i="145" s="1"/>
  <c r="R45" i="140"/>
  <c r="P30" i="148"/>
  <c r="P55" i="148"/>
  <c r="E16" i="151"/>
  <c r="F36" i="147"/>
  <c r="F37" i="147" s="1"/>
  <c r="F38" i="147" s="1"/>
  <c r="F66" i="152"/>
  <c r="I46" i="146"/>
  <c r="G76" i="152"/>
  <c r="J31" i="148"/>
  <c r="J32" i="148" s="1"/>
  <c r="N56" i="126"/>
  <c r="N91" i="126" s="1"/>
  <c r="F56" i="126"/>
  <c r="I53" i="146"/>
  <c r="I54" i="146" s="1"/>
  <c r="E53" i="146"/>
  <c r="E54" i="146" s="1"/>
  <c r="D86" i="90"/>
  <c r="L86" i="90"/>
  <c r="G86" i="90"/>
  <c r="P71" i="142"/>
  <c r="P41" i="143"/>
  <c r="P42" i="143" s="1"/>
  <c r="P30" i="144"/>
  <c r="P31" i="144" s="1"/>
  <c r="P46" i="144"/>
  <c r="R46" i="144" s="1"/>
  <c r="P17" i="141"/>
  <c r="I11" i="145"/>
  <c r="I12" i="145" s="1"/>
  <c r="J84" i="144"/>
  <c r="L11" i="145"/>
  <c r="N76" i="145"/>
  <c r="N77" i="152" s="1"/>
  <c r="N6" i="147"/>
  <c r="M22" i="149"/>
  <c r="M27" i="149"/>
  <c r="E82" i="149"/>
  <c r="O72" i="151"/>
  <c r="P35" i="148"/>
  <c r="P70" i="148"/>
  <c r="G37" i="141"/>
  <c r="H46" i="146"/>
  <c r="F41" i="146"/>
  <c r="F42" i="146" s="1"/>
  <c r="E41" i="146"/>
  <c r="G25" i="147"/>
  <c r="I14" i="152"/>
  <c r="P56" i="145"/>
  <c r="D56" i="126"/>
  <c r="M56" i="108"/>
  <c r="M57" i="117" s="1"/>
  <c r="K41" i="146"/>
  <c r="K61" i="146" s="1"/>
  <c r="H53" i="146"/>
  <c r="H54" i="146" s="1"/>
  <c r="N86" i="90"/>
  <c r="P85" i="90"/>
  <c r="N62" i="151"/>
  <c r="L89" i="152"/>
  <c r="K65" i="135" s="1"/>
  <c r="L41" i="152"/>
  <c r="L90" i="152"/>
  <c r="K71" i="135" s="1"/>
  <c r="N32" i="151"/>
  <c r="I82" i="151"/>
  <c r="I86" i="152"/>
  <c r="I87" i="152" s="1"/>
  <c r="J86" i="152"/>
  <c r="J87" i="152" s="1"/>
  <c r="G86" i="152"/>
  <c r="G87" i="152" s="1"/>
  <c r="M82" i="149"/>
  <c r="O86" i="149"/>
  <c r="N34" i="135" s="1"/>
  <c r="N47" i="135" s="1"/>
  <c r="N48" i="135" s="1"/>
  <c r="L88" i="152"/>
  <c r="K59" i="135" s="1"/>
  <c r="M27" i="151"/>
  <c r="N27" i="151"/>
  <c r="L22" i="147"/>
  <c r="G7" i="79"/>
  <c r="I7" i="79" s="1"/>
  <c r="I18" i="147"/>
  <c r="I14" i="147"/>
  <c r="T46" i="145"/>
  <c r="N35" i="135"/>
  <c r="O87" i="143"/>
  <c r="M62" i="126"/>
  <c r="M62" i="117"/>
  <c r="G52" i="126"/>
  <c r="I37" i="145"/>
  <c r="P84" i="123"/>
  <c r="M42" i="124"/>
  <c r="M42" i="123"/>
  <c r="P77" i="125"/>
  <c r="P77" i="120"/>
  <c r="P22" i="120"/>
  <c r="P22" i="125"/>
  <c r="I32" i="125"/>
  <c r="I32" i="120"/>
  <c r="G82" i="125"/>
  <c r="R81" i="120"/>
  <c r="N62" i="126"/>
  <c r="G22" i="126"/>
  <c r="G22" i="117"/>
  <c r="N12" i="117"/>
  <c r="N12" i="126"/>
  <c r="E76" i="126"/>
  <c r="E77" i="145" s="1"/>
  <c r="P73" i="126"/>
  <c r="L36" i="113"/>
  <c r="L33" i="117"/>
  <c r="L36" i="117" s="1"/>
  <c r="N57" i="127"/>
  <c r="N57" i="113"/>
  <c r="W85" i="125"/>
  <c r="L86" i="125"/>
  <c r="G42" i="145"/>
  <c r="G57" i="127"/>
  <c r="D42" i="145"/>
  <c r="E87" i="152"/>
  <c r="R86" i="143"/>
  <c r="H35" i="135"/>
  <c r="P11" i="144"/>
  <c r="P38" i="129"/>
  <c r="H7" i="124"/>
  <c r="H7" i="123"/>
  <c r="E27" i="126"/>
  <c r="E27" i="117"/>
  <c r="K27" i="126"/>
  <c r="K27" i="117"/>
  <c r="O27" i="117"/>
  <c r="O27" i="126"/>
  <c r="P42" i="123"/>
  <c r="P42" i="124"/>
  <c r="G82" i="120"/>
  <c r="L62" i="126"/>
  <c r="L62" i="117"/>
  <c r="R31" i="144"/>
  <c r="P26" i="123"/>
  <c r="P83" i="123"/>
  <c r="D77" i="125"/>
  <c r="R76" i="120"/>
  <c r="D77" i="120"/>
  <c r="O82" i="117"/>
  <c r="W86" i="144"/>
  <c r="E91" i="145"/>
  <c r="K91" i="145"/>
  <c r="M82" i="145"/>
  <c r="L72" i="145"/>
  <c r="P57" i="125"/>
  <c r="I96" i="149"/>
  <c r="L11" i="135"/>
  <c r="N82" i="142"/>
  <c r="P59" i="111"/>
  <c r="L27" i="117"/>
  <c r="L27" i="126"/>
  <c r="H27" i="126"/>
  <c r="H27" i="117"/>
  <c r="P32" i="120"/>
  <c r="P32" i="125"/>
  <c r="H77" i="125"/>
  <c r="H77" i="120"/>
  <c r="R61" i="120"/>
  <c r="D62" i="125"/>
  <c r="D62" i="120"/>
  <c r="P83" i="120"/>
  <c r="P47" i="120"/>
  <c r="P47" i="125"/>
  <c r="M22" i="126"/>
  <c r="M22" i="117"/>
  <c r="H77" i="117"/>
  <c r="K62" i="117"/>
  <c r="K62" i="126"/>
  <c r="M17" i="113"/>
  <c r="M17" i="127"/>
  <c r="E37" i="125"/>
  <c r="E37" i="120"/>
  <c r="R36" i="120"/>
  <c r="H72" i="126"/>
  <c r="H72" i="117"/>
  <c r="P16" i="143"/>
  <c r="D42" i="112"/>
  <c r="R41" i="112"/>
  <c r="F42" i="112"/>
  <c r="P7" i="120"/>
  <c r="P7" i="125"/>
  <c r="I42" i="124"/>
  <c r="I42" i="123"/>
  <c r="P37" i="124"/>
  <c r="P37" i="123"/>
  <c r="R31" i="120"/>
  <c r="E32" i="120"/>
  <c r="K82" i="125"/>
  <c r="K82" i="120"/>
  <c r="P72" i="125"/>
  <c r="P72" i="120"/>
  <c r="P67" i="120"/>
  <c r="P30" i="117"/>
  <c r="D37" i="126"/>
  <c r="D37" i="117"/>
  <c r="P34" i="117"/>
  <c r="E89" i="117"/>
  <c r="P39" i="117"/>
  <c r="E41" i="117"/>
  <c r="P44" i="117"/>
  <c r="J62" i="126"/>
  <c r="J62" i="117"/>
  <c r="P60" i="117"/>
  <c r="P65" i="117"/>
  <c r="P70" i="117"/>
  <c r="D86" i="117"/>
  <c r="H87" i="126"/>
  <c r="H87" i="117"/>
  <c r="I87" i="126"/>
  <c r="I87" i="117"/>
  <c r="K82" i="124"/>
  <c r="K82" i="123"/>
  <c r="I77" i="124"/>
  <c r="I77" i="123"/>
  <c r="H72" i="124"/>
  <c r="T72" i="125" s="1"/>
  <c r="H72" i="123"/>
  <c r="J62" i="124"/>
  <c r="J62" i="123"/>
  <c r="H18" i="117"/>
  <c r="H21" i="117" s="1"/>
  <c r="H16" i="113"/>
  <c r="P13" i="113"/>
  <c r="L86" i="122"/>
  <c r="L87" i="123" s="1"/>
  <c r="G52" i="124"/>
  <c r="T52" i="125" s="1"/>
  <c r="G52" i="123"/>
  <c r="R51" i="123"/>
  <c r="P50" i="117"/>
  <c r="P51" i="117" s="1"/>
  <c r="M51" i="117"/>
  <c r="R16" i="120"/>
  <c r="D17" i="125"/>
  <c r="D17" i="120"/>
  <c r="S54" i="120"/>
  <c r="F87" i="144"/>
  <c r="P36" i="145"/>
  <c r="R51" i="117"/>
  <c r="S51" i="126" s="1"/>
  <c r="S56" i="120"/>
  <c r="I32" i="126"/>
  <c r="F87" i="152"/>
  <c r="O87" i="152"/>
  <c r="P12" i="127"/>
  <c r="P12" i="113"/>
  <c r="G32" i="124"/>
  <c r="G32" i="123"/>
  <c r="P27" i="120"/>
  <c r="P27" i="125"/>
  <c r="I37" i="125"/>
  <c r="I37" i="120"/>
  <c r="H17" i="125"/>
  <c r="H17" i="120"/>
  <c r="L77" i="117"/>
  <c r="L77" i="126"/>
  <c r="P66" i="123"/>
  <c r="H12" i="126"/>
  <c r="H12" i="117"/>
  <c r="F62" i="126"/>
  <c r="F62" i="117"/>
  <c r="H62" i="127"/>
  <c r="H62" i="113"/>
  <c r="P81" i="145"/>
  <c r="I62" i="145"/>
  <c r="P57" i="120"/>
  <c r="D35" i="135"/>
  <c r="N82" i="145"/>
  <c r="K17" i="143"/>
  <c r="P22" i="112"/>
  <c r="T85" i="113"/>
  <c r="P85" i="113"/>
  <c r="M41" i="112"/>
  <c r="P41" i="112" s="1"/>
  <c r="D7" i="126"/>
  <c r="D7" i="117"/>
  <c r="M90" i="117"/>
  <c r="E90" i="117"/>
  <c r="I6" i="117"/>
  <c r="P4" i="117"/>
  <c r="P25" i="117"/>
  <c r="P26" i="117" s="1"/>
  <c r="G27" i="126"/>
  <c r="D27" i="124"/>
  <c r="T27" i="125" s="1"/>
  <c r="R26" i="123"/>
  <c r="D27" i="123"/>
  <c r="K27" i="120"/>
  <c r="K27" i="125"/>
  <c r="L77" i="125"/>
  <c r="L77" i="120"/>
  <c r="O72" i="126"/>
  <c r="K71" i="117"/>
  <c r="P80" i="117"/>
  <c r="N87" i="126"/>
  <c r="N87" i="117"/>
  <c r="G17" i="124"/>
  <c r="G17" i="123"/>
  <c r="O17" i="124"/>
  <c r="O17" i="123"/>
  <c r="T61" i="125"/>
  <c r="R61" i="125" s="1"/>
  <c r="R61" i="124"/>
  <c r="P62" i="143" s="1"/>
  <c r="D62" i="124"/>
  <c r="T62" i="125" s="1"/>
  <c r="D62" i="143"/>
  <c r="I77" i="127"/>
  <c r="I82" i="113"/>
  <c r="P86" i="145"/>
  <c r="L6" i="139"/>
  <c r="O67" i="152"/>
  <c r="H6" i="139"/>
  <c r="S53" i="120"/>
  <c r="N42" i="145"/>
  <c r="E42" i="124"/>
  <c r="E42" i="123"/>
  <c r="R41" i="123"/>
  <c r="P37" i="125"/>
  <c r="P37" i="120"/>
  <c r="O82" i="125"/>
  <c r="O82" i="120"/>
  <c r="F67" i="113"/>
  <c r="F67" i="127"/>
  <c r="T22" i="125"/>
  <c r="L22" i="117"/>
  <c r="P69" i="117"/>
  <c r="O87" i="126"/>
  <c r="M36" i="117"/>
  <c r="K21" i="117"/>
  <c r="P11" i="120"/>
  <c r="N7" i="113"/>
  <c r="O6" i="113"/>
  <c r="O3" i="117"/>
  <c r="O6" i="117" s="1"/>
  <c r="O7" i="117" s="1"/>
  <c r="T13" i="113"/>
  <c r="D18" i="117"/>
  <c r="I17" i="127"/>
  <c r="I17" i="113"/>
  <c r="L31" i="117"/>
  <c r="L32" i="126" s="1"/>
  <c r="M61" i="113"/>
  <c r="M68" i="117"/>
  <c r="M71" i="117" s="1"/>
  <c r="M72" i="117" s="1"/>
  <c r="D81" i="113"/>
  <c r="J84" i="117"/>
  <c r="J86" i="117" s="1"/>
  <c r="J81" i="113"/>
  <c r="N88" i="108"/>
  <c r="N51" i="108"/>
  <c r="N91" i="108" s="1"/>
  <c r="D51" i="108"/>
  <c r="D52" i="117" s="1"/>
  <c r="D89" i="108"/>
  <c r="P49" i="108"/>
  <c r="P89" i="108" s="1"/>
  <c r="M66" i="117"/>
  <c r="M67" i="117" s="1"/>
  <c r="P26" i="140"/>
  <c r="P54" i="129"/>
  <c r="P10" i="128"/>
  <c r="K90" i="117"/>
  <c r="D26" i="117"/>
  <c r="K42" i="123"/>
  <c r="R31" i="123"/>
  <c r="G32" i="120"/>
  <c r="O77" i="117"/>
  <c r="P58" i="117"/>
  <c r="T77" i="125"/>
  <c r="R76" i="123"/>
  <c r="L11" i="117"/>
  <c r="P9" i="117"/>
  <c r="D11" i="117"/>
  <c r="D12" i="126" s="1"/>
  <c r="T6" i="125"/>
  <c r="R6" i="125" s="1"/>
  <c r="R6" i="124"/>
  <c r="P7" i="143" s="1"/>
  <c r="R81" i="124"/>
  <c r="T81" i="125"/>
  <c r="R81" i="125" s="1"/>
  <c r="J17" i="127"/>
  <c r="J17" i="113"/>
  <c r="J22" i="127"/>
  <c r="J22" i="113"/>
  <c r="H37" i="113"/>
  <c r="H37" i="127"/>
  <c r="J13" i="126"/>
  <c r="P13" i="126" s="1"/>
  <c r="J83" i="124"/>
  <c r="J86" i="124" s="1"/>
  <c r="J16" i="124"/>
  <c r="T16" i="125" s="1"/>
  <c r="R16" i="125" s="1"/>
  <c r="O12" i="126"/>
  <c r="H22" i="129"/>
  <c r="H22" i="140"/>
  <c r="K34" i="129"/>
  <c r="K34" i="140"/>
  <c r="L41" i="87"/>
  <c r="P40" i="87"/>
  <c r="S55" i="123"/>
  <c r="P30" i="140"/>
  <c r="P60" i="111"/>
  <c r="J7" i="117"/>
  <c r="J7" i="123"/>
  <c r="N6" i="117"/>
  <c r="G7" i="124"/>
  <c r="J90" i="117"/>
  <c r="F89" i="117"/>
  <c r="F27" i="126"/>
  <c r="D32" i="123"/>
  <c r="G42" i="123"/>
  <c r="E32" i="124"/>
  <c r="T32" i="125" s="1"/>
  <c r="I32" i="124"/>
  <c r="G37" i="120"/>
  <c r="M82" i="120"/>
  <c r="H32" i="120"/>
  <c r="O37" i="120"/>
  <c r="K37" i="125"/>
  <c r="E77" i="120"/>
  <c r="J17" i="125"/>
  <c r="N77" i="125"/>
  <c r="F77" i="125"/>
  <c r="J72" i="117"/>
  <c r="P59" i="117"/>
  <c r="R81" i="123"/>
  <c r="D76" i="126"/>
  <c r="D77" i="145" s="1"/>
  <c r="P13" i="117"/>
  <c r="I7" i="113"/>
  <c r="K22" i="127"/>
  <c r="K22" i="113"/>
  <c r="E62" i="127"/>
  <c r="E62" i="113"/>
  <c r="O62" i="113"/>
  <c r="O62" i="127"/>
  <c r="J66" i="113"/>
  <c r="J73" i="117"/>
  <c r="D84" i="117"/>
  <c r="T79" i="113"/>
  <c r="H17" i="124"/>
  <c r="H6" i="117"/>
  <c r="H7" i="117" s="1"/>
  <c r="I90" i="117"/>
  <c r="R46" i="123"/>
  <c r="R61" i="117"/>
  <c r="I12" i="126"/>
  <c r="I12" i="117"/>
  <c r="T82" i="125"/>
  <c r="D62" i="127"/>
  <c r="T61" i="113"/>
  <c r="R61" i="113"/>
  <c r="E3" i="117"/>
  <c r="E6" i="113"/>
  <c r="T3" i="113"/>
  <c r="K17" i="113"/>
  <c r="K17" i="127"/>
  <c r="D36" i="113"/>
  <c r="T33" i="113"/>
  <c r="I37" i="127"/>
  <c r="I37" i="113"/>
  <c r="G81" i="113"/>
  <c r="G83" i="117"/>
  <c r="G86" i="117" s="1"/>
  <c r="G87" i="117" s="1"/>
  <c r="L82" i="113"/>
  <c r="L77" i="127"/>
  <c r="K42" i="112"/>
  <c r="H90" i="117"/>
  <c r="N27" i="126"/>
  <c r="T47" i="125"/>
  <c r="H42" i="124"/>
  <c r="H37" i="120"/>
  <c r="F72" i="117"/>
  <c r="D77" i="117"/>
  <c r="K12" i="126"/>
  <c r="J11" i="117"/>
  <c r="D90" i="126"/>
  <c r="D21" i="126"/>
  <c r="P18" i="126"/>
  <c r="P21" i="126" s="1"/>
  <c r="R16" i="113"/>
  <c r="T16" i="113"/>
  <c r="D17" i="113"/>
  <c r="O22" i="127"/>
  <c r="O22" i="113"/>
  <c r="N31" i="117"/>
  <c r="K66" i="117"/>
  <c r="K67" i="117" s="1"/>
  <c r="K62" i="127"/>
  <c r="L67" i="113"/>
  <c r="L67" i="127"/>
  <c r="M52" i="120"/>
  <c r="J86" i="122"/>
  <c r="J87" i="123" s="1"/>
  <c r="P52" i="125"/>
  <c r="O90" i="117"/>
  <c r="G90" i="117"/>
  <c r="K89" i="117"/>
  <c r="E37" i="123"/>
  <c r="O27" i="125"/>
  <c r="J27" i="125"/>
  <c r="P68" i="117"/>
  <c r="T67" i="125"/>
  <c r="R41" i="124"/>
  <c r="T41" i="125"/>
  <c r="R41" i="125" s="1"/>
  <c r="D42" i="143"/>
  <c r="N57" i="123"/>
  <c r="N57" i="124"/>
  <c r="D89" i="126"/>
  <c r="D62" i="113"/>
  <c r="G6" i="113"/>
  <c r="G3" i="117"/>
  <c r="G6" i="117" s="1"/>
  <c r="G7" i="117" s="1"/>
  <c r="G17" i="127"/>
  <c r="G17" i="113"/>
  <c r="H22" i="127"/>
  <c r="H22" i="113"/>
  <c r="L66" i="126"/>
  <c r="L67" i="145" s="1"/>
  <c r="L89" i="126"/>
  <c r="E26" i="146"/>
  <c r="E26" i="140"/>
  <c r="H9" i="138"/>
  <c r="O87" i="149"/>
  <c r="R11" i="126"/>
  <c r="T37" i="125"/>
  <c r="P8" i="117"/>
  <c r="P11" i="117" s="1"/>
  <c r="P12" i="117" s="1"/>
  <c r="P85" i="120"/>
  <c r="D37" i="120"/>
  <c r="D37" i="125"/>
  <c r="D7" i="113"/>
  <c r="D7" i="127"/>
  <c r="K37" i="113"/>
  <c r="T18" i="113"/>
  <c r="G21" i="113"/>
  <c r="M21" i="113"/>
  <c r="G62" i="113"/>
  <c r="G62" i="127"/>
  <c r="E67" i="113"/>
  <c r="R66" i="113"/>
  <c r="T66" i="113"/>
  <c r="H82" i="113"/>
  <c r="H77" i="127"/>
  <c r="P51" i="122"/>
  <c r="I88" i="108"/>
  <c r="I51" i="108"/>
  <c r="P48" i="108"/>
  <c r="D88" i="126"/>
  <c r="E12" i="145"/>
  <c r="R11" i="124"/>
  <c r="P12" i="143" s="1"/>
  <c r="T11" i="125"/>
  <c r="R11" i="125" s="1"/>
  <c r="P74" i="126"/>
  <c r="M6" i="113"/>
  <c r="E17" i="127"/>
  <c r="K77" i="127"/>
  <c r="D52" i="120"/>
  <c r="E90" i="126"/>
  <c r="P30" i="129"/>
  <c r="F87" i="126"/>
  <c r="G86" i="125"/>
  <c r="G88" i="126"/>
  <c r="G72" i="126"/>
  <c r="J52" i="144"/>
  <c r="J52" i="125"/>
  <c r="N88" i="126"/>
  <c r="D27" i="143"/>
  <c r="R26" i="124"/>
  <c r="T26" i="125"/>
  <c r="R26" i="125" s="1"/>
  <c r="E22" i="113"/>
  <c r="L22" i="113"/>
  <c r="T63" i="113"/>
  <c r="L41" i="117"/>
  <c r="L42" i="126" s="1"/>
  <c r="N62" i="113"/>
  <c r="D22" i="143"/>
  <c r="R21" i="124"/>
  <c r="P22" i="143" s="1"/>
  <c r="T21" i="125"/>
  <c r="R21" i="125" s="1"/>
  <c r="P26" i="128"/>
  <c r="F90" i="126"/>
  <c r="F46" i="126"/>
  <c r="F47" i="145" s="1"/>
  <c r="P26" i="122"/>
  <c r="O34" i="140"/>
  <c r="O34" i="129"/>
  <c r="R36" i="124"/>
  <c r="P37" i="143" s="1"/>
  <c r="T36" i="125"/>
  <c r="R36" i="125" s="1"/>
  <c r="K6" i="113"/>
  <c r="I67" i="113"/>
  <c r="O36" i="117"/>
  <c r="I61" i="113"/>
  <c r="L62" i="127"/>
  <c r="M77" i="127"/>
  <c r="P85" i="125"/>
  <c r="E88" i="126"/>
  <c r="T5" i="123"/>
  <c r="T3" i="123"/>
  <c r="F7" i="123"/>
  <c r="F7" i="124"/>
  <c r="T7" i="125" s="1"/>
  <c r="P13" i="124"/>
  <c r="P16" i="124" s="1"/>
  <c r="P17" i="124" s="1"/>
  <c r="H37" i="126"/>
  <c r="I37" i="126"/>
  <c r="L88" i="126"/>
  <c r="G30" i="140"/>
  <c r="G30" i="129"/>
  <c r="O30" i="140"/>
  <c r="J81" i="117"/>
  <c r="K87" i="120"/>
  <c r="W61" i="125"/>
  <c r="P62" i="144" s="1"/>
  <c r="D62" i="144"/>
  <c r="F88" i="126"/>
  <c r="F6" i="126"/>
  <c r="D26" i="108"/>
  <c r="P23" i="108"/>
  <c r="D88" i="108"/>
  <c r="O6" i="126"/>
  <c r="O90" i="126"/>
  <c r="J31" i="126"/>
  <c r="E34" i="140"/>
  <c r="R33" i="140"/>
  <c r="E83" i="117"/>
  <c r="E86" i="117" s="1"/>
  <c r="F18" i="117"/>
  <c r="F21" i="117" s="1"/>
  <c r="T46" i="125"/>
  <c r="R46" i="125" s="1"/>
  <c r="R46" i="124"/>
  <c r="P47" i="143" s="1"/>
  <c r="P40" i="126"/>
  <c r="L17" i="127"/>
  <c r="L51" i="108"/>
  <c r="L91" i="108" s="1"/>
  <c r="J51" i="108"/>
  <c r="L86" i="119"/>
  <c r="L87" i="120" s="1"/>
  <c r="F81" i="126"/>
  <c r="F82" i="145" s="1"/>
  <c r="H88" i="126"/>
  <c r="P25" i="108"/>
  <c r="P90" i="108" s="1"/>
  <c r="H61" i="126"/>
  <c r="R61" i="126" s="1"/>
  <c r="L46" i="126"/>
  <c r="O36" i="126"/>
  <c r="O37" i="145" s="1"/>
  <c r="T5" i="129"/>
  <c r="D61" i="129"/>
  <c r="S5" i="129"/>
  <c r="D6" i="129"/>
  <c r="J61" i="129"/>
  <c r="J62" i="129" s="1"/>
  <c r="J6" i="129"/>
  <c r="O46" i="117"/>
  <c r="O47" i="117" s="1"/>
  <c r="P51" i="119"/>
  <c r="W46" i="125"/>
  <c r="P47" i="144" s="1"/>
  <c r="D47" i="144"/>
  <c r="W71" i="125"/>
  <c r="P72" i="144" s="1"/>
  <c r="D72" i="144"/>
  <c r="E62" i="126"/>
  <c r="W84" i="125"/>
  <c r="P84" i="125"/>
  <c r="G37" i="126"/>
  <c r="I89" i="126"/>
  <c r="G86" i="126"/>
  <c r="E81" i="142"/>
  <c r="E127" i="148" s="1"/>
  <c r="E32" i="142"/>
  <c r="E67" i="142"/>
  <c r="F54" i="140"/>
  <c r="F54" i="129"/>
  <c r="T76" i="125"/>
  <c r="R76" i="125" s="1"/>
  <c r="R76" i="124"/>
  <c r="P77" i="143" s="1"/>
  <c r="K31" i="117"/>
  <c r="K32" i="126" s="1"/>
  <c r="F86" i="119"/>
  <c r="F87" i="120" s="1"/>
  <c r="G6" i="126"/>
  <c r="R6" i="126" s="1"/>
  <c r="G90" i="126"/>
  <c r="H90" i="126"/>
  <c r="K76" i="126"/>
  <c r="M22" i="140"/>
  <c r="M22" i="129"/>
  <c r="O41" i="129"/>
  <c r="P40" i="129"/>
  <c r="P41" i="129" s="1"/>
  <c r="P42" i="129" s="1"/>
  <c r="W11" i="125"/>
  <c r="W76" i="125"/>
  <c r="D77" i="144"/>
  <c r="I83" i="125"/>
  <c r="H83" i="124"/>
  <c r="R13" i="141"/>
  <c r="D37" i="142"/>
  <c r="R71" i="142"/>
  <c r="E61" i="129"/>
  <c r="E62" i="129" s="1"/>
  <c r="E6" i="129"/>
  <c r="H30" i="140"/>
  <c r="H30" i="129"/>
  <c r="T41" i="129"/>
  <c r="G54" i="140"/>
  <c r="G54" i="129"/>
  <c r="I54" i="129"/>
  <c r="I38" i="127"/>
  <c r="P59" i="84"/>
  <c r="I7" i="143"/>
  <c r="K67" i="143"/>
  <c r="O17" i="143"/>
  <c r="L77" i="148"/>
  <c r="L77" i="142"/>
  <c r="T25" i="140"/>
  <c r="R25" i="140"/>
  <c r="R26" i="140" s="1"/>
  <c r="F61" i="129"/>
  <c r="F6" i="140"/>
  <c r="F26" i="140"/>
  <c r="F26" i="129"/>
  <c r="L26" i="140"/>
  <c r="L26" i="129"/>
  <c r="T29" i="129"/>
  <c r="R6" i="129" s="1"/>
  <c r="S29" i="129"/>
  <c r="I46" i="140"/>
  <c r="I46" i="129"/>
  <c r="O54" i="140"/>
  <c r="O54" i="129"/>
  <c r="I6" i="128"/>
  <c r="I6" i="141"/>
  <c r="H7" i="143"/>
  <c r="J12" i="144"/>
  <c r="K42" i="144"/>
  <c r="W26" i="125"/>
  <c r="P27" i="144" s="1"/>
  <c r="D27" i="144"/>
  <c r="R31" i="124"/>
  <c r="S31" i="124" s="1"/>
  <c r="T31" i="125"/>
  <c r="R31" i="125" s="1"/>
  <c r="W6" i="125"/>
  <c r="P7" i="144" s="1"/>
  <c r="W81" i="125"/>
  <c r="G61" i="129"/>
  <c r="G62" i="129" s="1"/>
  <c r="G6" i="129"/>
  <c r="O60" i="129"/>
  <c r="F42" i="140"/>
  <c r="F42" i="129"/>
  <c r="N54" i="140"/>
  <c r="N54" i="129"/>
  <c r="S6" i="127"/>
  <c r="R7" i="142" s="1"/>
  <c r="R6" i="127"/>
  <c r="P7" i="142" s="1"/>
  <c r="D7" i="142"/>
  <c r="G79" i="127"/>
  <c r="P79" i="127" s="1"/>
  <c r="U79" i="127" s="1"/>
  <c r="R29" i="127"/>
  <c r="P29" i="127"/>
  <c r="E67" i="143"/>
  <c r="P82" i="143"/>
  <c r="W51" i="125"/>
  <c r="P52" i="144" s="1"/>
  <c r="T13" i="125"/>
  <c r="D72" i="143"/>
  <c r="R71" i="124"/>
  <c r="P72" i="143" s="1"/>
  <c r="T71" i="125"/>
  <c r="R71" i="125" s="1"/>
  <c r="J43" i="127"/>
  <c r="L61" i="129"/>
  <c r="L62" i="129" s="1"/>
  <c r="H14" i="140"/>
  <c r="H14" i="129"/>
  <c r="K46" i="140"/>
  <c r="K46" i="129"/>
  <c r="G22" i="129"/>
  <c r="R21" i="128"/>
  <c r="P22" i="141" s="1"/>
  <c r="S21" i="128"/>
  <c r="R22" i="141" s="1"/>
  <c r="D22" i="128"/>
  <c r="N26" i="141"/>
  <c r="N26" i="128"/>
  <c r="W31" i="125"/>
  <c r="P32" i="144" s="1"/>
  <c r="D32" i="144"/>
  <c r="W41" i="125"/>
  <c r="P42" i="144" s="1"/>
  <c r="W66" i="125"/>
  <c r="J83" i="125"/>
  <c r="J86" i="125" s="1"/>
  <c r="J87" i="125" s="1"/>
  <c r="L6" i="126"/>
  <c r="T66" i="125"/>
  <c r="R66" i="124"/>
  <c r="R66" i="142"/>
  <c r="O21" i="129"/>
  <c r="H61" i="129"/>
  <c r="K10" i="140"/>
  <c r="K10" i="129"/>
  <c r="T13" i="129"/>
  <c r="S13" i="129"/>
  <c r="K60" i="129"/>
  <c r="M42" i="140"/>
  <c r="M42" i="129"/>
  <c r="R53" i="127"/>
  <c r="O56" i="127"/>
  <c r="O57" i="142" s="1"/>
  <c r="P60" i="84"/>
  <c r="H27" i="143"/>
  <c r="J62" i="143"/>
  <c r="F67" i="144"/>
  <c r="P38" i="128"/>
  <c r="R29" i="140"/>
  <c r="T29" i="140"/>
  <c r="T21" i="140"/>
  <c r="R21" i="140"/>
  <c r="R31" i="142"/>
  <c r="R41" i="142"/>
  <c r="D57" i="142"/>
  <c r="D30" i="129"/>
  <c r="M61" i="129"/>
  <c r="M62" i="129" s="1"/>
  <c r="F22" i="140"/>
  <c r="F22" i="129"/>
  <c r="H34" i="140"/>
  <c r="H34" i="129"/>
  <c r="K59" i="129"/>
  <c r="K41" i="129"/>
  <c r="R13" i="128"/>
  <c r="P14" i="141" s="1"/>
  <c r="S13" i="128"/>
  <c r="D14" i="128"/>
  <c r="D17" i="144"/>
  <c r="G6" i="140"/>
  <c r="G82" i="143"/>
  <c r="W36" i="125"/>
  <c r="P37" i="144" s="1"/>
  <c r="D37" i="144"/>
  <c r="R41" i="140"/>
  <c r="T41" i="140"/>
  <c r="I31" i="127"/>
  <c r="J28" i="127"/>
  <c r="N61" i="129"/>
  <c r="N62" i="129" s="1"/>
  <c r="N6" i="140"/>
  <c r="N6" i="129"/>
  <c r="T33" i="129"/>
  <c r="S33" i="129"/>
  <c r="D34" i="129"/>
  <c r="F6" i="129"/>
  <c r="G10" i="128"/>
  <c r="G10" i="141"/>
  <c r="N42" i="143"/>
  <c r="L62" i="144"/>
  <c r="L42" i="146"/>
  <c r="L42" i="140"/>
  <c r="H86" i="127"/>
  <c r="I61" i="129"/>
  <c r="I62" i="129" s="1"/>
  <c r="O59" i="129"/>
  <c r="S59" i="129" s="1"/>
  <c r="T25" i="129"/>
  <c r="S25" i="129"/>
  <c r="T37" i="129"/>
  <c r="R38" i="140" s="1"/>
  <c r="S37" i="129"/>
  <c r="J26" i="128"/>
  <c r="R29" i="128"/>
  <c r="S29" i="128"/>
  <c r="S36" i="127"/>
  <c r="R37" i="142" s="1"/>
  <c r="R36" i="127"/>
  <c r="P37" i="142" s="1"/>
  <c r="P39" i="127"/>
  <c r="S61" i="127"/>
  <c r="R62" i="142" s="1"/>
  <c r="R61" i="127"/>
  <c r="P62" i="142" s="1"/>
  <c r="P68" i="127"/>
  <c r="P71" i="127" s="1"/>
  <c r="N27" i="143"/>
  <c r="K32" i="143"/>
  <c r="L67" i="143"/>
  <c r="D77" i="143"/>
  <c r="K12" i="144"/>
  <c r="F32" i="144"/>
  <c r="G37" i="144"/>
  <c r="L42" i="144"/>
  <c r="F62" i="144"/>
  <c r="G67" i="151"/>
  <c r="G67" i="144"/>
  <c r="M17" i="144"/>
  <c r="I17" i="142"/>
  <c r="G22" i="141"/>
  <c r="I6" i="140"/>
  <c r="L12" i="142"/>
  <c r="N18" i="141"/>
  <c r="G18" i="141"/>
  <c r="H58" i="146"/>
  <c r="H58" i="140"/>
  <c r="P66" i="144"/>
  <c r="T60" i="129"/>
  <c r="S26" i="127"/>
  <c r="R26" i="127"/>
  <c r="P27" i="142" s="1"/>
  <c r="O7" i="143"/>
  <c r="M67" i="143"/>
  <c r="E77" i="143"/>
  <c r="N7" i="144"/>
  <c r="E12" i="144"/>
  <c r="J27" i="144"/>
  <c r="F42" i="144"/>
  <c r="G62" i="144"/>
  <c r="M14" i="147"/>
  <c r="M14" i="141"/>
  <c r="O17" i="142"/>
  <c r="K22" i="142"/>
  <c r="O10" i="141"/>
  <c r="K26" i="140"/>
  <c r="J34" i="140"/>
  <c r="J42" i="142"/>
  <c r="M47" i="148"/>
  <c r="F7" i="143"/>
  <c r="N67" i="142"/>
  <c r="H61" i="140"/>
  <c r="H6" i="140"/>
  <c r="P9" i="141"/>
  <c r="I10" i="146"/>
  <c r="I10" i="140"/>
  <c r="P85" i="145"/>
  <c r="J42" i="128"/>
  <c r="O30" i="147"/>
  <c r="O30" i="141"/>
  <c r="M14" i="145"/>
  <c r="M89" i="145" s="1"/>
  <c r="M16" i="143"/>
  <c r="M17" i="143" s="1"/>
  <c r="T45" i="129"/>
  <c r="R46" i="140" s="1"/>
  <c r="S45" i="129"/>
  <c r="S5" i="128"/>
  <c r="R6" i="141" s="1"/>
  <c r="R5" i="128"/>
  <c r="P6" i="141" s="1"/>
  <c r="O39" i="128"/>
  <c r="S21" i="127"/>
  <c r="R22" i="142" s="1"/>
  <c r="R21" i="127"/>
  <c r="S76" i="127"/>
  <c r="R76" i="127"/>
  <c r="P77" i="142" s="1"/>
  <c r="D77" i="142"/>
  <c r="G22" i="143"/>
  <c r="J27" i="143"/>
  <c r="M37" i="143"/>
  <c r="F47" i="143"/>
  <c r="F62" i="143"/>
  <c r="G67" i="143"/>
  <c r="F77" i="143"/>
  <c r="K82" i="143"/>
  <c r="F12" i="144"/>
  <c r="G42" i="144"/>
  <c r="O67" i="151"/>
  <c r="O67" i="144"/>
  <c r="J77" i="151"/>
  <c r="J77" i="144"/>
  <c r="E82" i="151"/>
  <c r="E82" i="144"/>
  <c r="J12" i="142"/>
  <c r="I34" i="140"/>
  <c r="F18" i="141"/>
  <c r="H27" i="148"/>
  <c r="H27" i="142"/>
  <c r="F12" i="142"/>
  <c r="F81" i="142"/>
  <c r="P67" i="143"/>
  <c r="E67" i="145"/>
  <c r="J14" i="140"/>
  <c r="K61" i="129"/>
  <c r="K62" i="129" s="1"/>
  <c r="T9" i="129"/>
  <c r="D10" i="140"/>
  <c r="S9" i="129"/>
  <c r="T53" i="129"/>
  <c r="R54" i="140" s="1"/>
  <c r="S53" i="129"/>
  <c r="L30" i="129"/>
  <c r="R17" i="128"/>
  <c r="S17" i="128"/>
  <c r="R18" i="141" s="1"/>
  <c r="S11" i="127"/>
  <c r="R11" i="127"/>
  <c r="S16" i="127"/>
  <c r="D17" i="142"/>
  <c r="R16" i="127"/>
  <c r="P17" i="142" s="1"/>
  <c r="E32" i="143"/>
  <c r="G47" i="143"/>
  <c r="H67" i="143"/>
  <c r="L82" i="143"/>
  <c r="G12" i="144"/>
  <c r="M12" i="144"/>
  <c r="L27" i="144"/>
  <c r="H32" i="144"/>
  <c r="J37" i="144"/>
  <c r="H42" i="144"/>
  <c r="O62" i="144"/>
  <c r="K17" i="144"/>
  <c r="K14" i="141"/>
  <c r="M17" i="142"/>
  <c r="I22" i="142"/>
  <c r="I17" i="143"/>
  <c r="N38" i="140"/>
  <c r="N14" i="146"/>
  <c r="N14" i="140"/>
  <c r="N10" i="146"/>
  <c r="N10" i="140"/>
  <c r="M10" i="141"/>
  <c r="G22" i="142"/>
  <c r="G27" i="142"/>
  <c r="P78" i="142"/>
  <c r="R71" i="127"/>
  <c r="P72" i="142" s="1"/>
  <c r="D17" i="151"/>
  <c r="W16" i="144"/>
  <c r="O22" i="143"/>
  <c r="O37" i="143"/>
  <c r="I67" i="143"/>
  <c r="O67" i="143"/>
  <c r="M77" i="143"/>
  <c r="I7" i="144"/>
  <c r="N12" i="144"/>
  <c r="E27" i="144"/>
  <c r="G82" i="144"/>
  <c r="M6" i="141"/>
  <c r="O22" i="142"/>
  <c r="K22" i="141"/>
  <c r="M38" i="140"/>
  <c r="H12" i="142"/>
  <c r="H81" i="142"/>
  <c r="L18" i="141"/>
  <c r="G26" i="141"/>
  <c r="G42" i="142"/>
  <c r="G42" i="140"/>
  <c r="N57" i="142"/>
  <c r="M7" i="143"/>
  <c r="R23" i="127"/>
  <c r="G86" i="127"/>
  <c r="I22" i="143"/>
  <c r="L27" i="143"/>
  <c r="H62" i="143"/>
  <c r="N62" i="143"/>
  <c r="H77" i="143"/>
  <c r="N77" i="143"/>
  <c r="H7" i="144"/>
  <c r="J32" i="144"/>
  <c r="L37" i="144"/>
  <c r="E47" i="144"/>
  <c r="H52" i="144"/>
  <c r="J62" i="144"/>
  <c r="K67" i="144"/>
  <c r="E77" i="151"/>
  <c r="E77" i="144"/>
  <c r="G17" i="144"/>
  <c r="H14" i="141"/>
  <c r="F17" i="143"/>
  <c r="L38" i="140"/>
  <c r="L14" i="140"/>
  <c r="M6" i="146"/>
  <c r="M61" i="140"/>
  <c r="M6" i="140"/>
  <c r="L10" i="140"/>
  <c r="K10" i="141"/>
  <c r="G26" i="140"/>
  <c r="J30" i="140"/>
  <c r="F26" i="141"/>
  <c r="F42" i="142"/>
  <c r="N42" i="140"/>
  <c r="F57" i="142"/>
  <c r="K72" i="142"/>
  <c r="N77" i="142"/>
  <c r="H7" i="142"/>
  <c r="I82" i="143"/>
  <c r="F14" i="140"/>
  <c r="P21" i="142"/>
  <c r="F77" i="145"/>
  <c r="P18" i="141"/>
  <c r="R9" i="128"/>
  <c r="S9" i="128"/>
  <c r="R10" i="141" s="1"/>
  <c r="R25" i="128"/>
  <c r="P26" i="141" s="1"/>
  <c r="S25" i="128"/>
  <c r="R26" i="141" s="1"/>
  <c r="P23" i="127"/>
  <c r="S66" i="127"/>
  <c r="R66" i="127"/>
  <c r="P67" i="142" s="1"/>
  <c r="I32" i="143"/>
  <c r="O62" i="143"/>
  <c r="G7" i="144"/>
  <c r="I12" i="144"/>
  <c r="H27" i="144"/>
  <c r="E37" i="144"/>
  <c r="J42" i="144"/>
  <c r="K62" i="144"/>
  <c r="O17" i="144"/>
  <c r="F17" i="144"/>
  <c r="K6" i="141"/>
  <c r="O14" i="147"/>
  <c r="O14" i="141"/>
  <c r="K17" i="142"/>
  <c r="M22" i="142"/>
  <c r="K14" i="140"/>
  <c r="L27" i="142"/>
  <c r="G32" i="142"/>
  <c r="H47" i="142"/>
  <c r="J72" i="142"/>
  <c r="E6" i="146"/>
  <c r="E61" i="140"/>
  <c r="I77" i="145"/>
  <c r="G42" i="128"/>
  <c r="G61" i="140"/>
  <c r="G6" i="146"/>
  <c r="L61" i="140"/>
  <c r="L6" i="146"/>
  <c r="D6" i="146"/>
  <c r="D61" i="140"/>
  <c r="R5" i="140"/>
  <c r="R6" i="140" s="1"/>
  <c r="T5" i="140"/>
  <c r="T57" i="140"/>
  <c r="R57" i="140"/>
  <c r="P14" i="144"/>
  <c r="P16" i="144" s="1"/>
  <c r="M77" i="152"/>
  <c r="M77" i="145"/>
  <c r="M7" i="144"/>
  <c r="E6" i="147"/>
  <c r="M22" i="148"/>
  <c r="L47" i="148"/>
  <c r="O61" i="129"/>
  <c r="O62" i="129" s="1"/>
  <c r="N32" i="144"/>
  <c r="N42" i="144"/>
  <c r="N62" i="144"/>
  <c r="J67" i="144"/>
  <c r="N82" i="144"/>
  <c r="O6" i="141"/>
  <c r="K61" i="140"/>
  <c r="L22" i="140"/>
  <c r="I26" i="140"/>
  <c r="M30" i="140"/>
  <c r="F27" i="142"/>
  <c r="R76" i="142"/>
  <c r="E77" i="148"/>
  <c r="G41" i="117"/>
  <c r="G42" i="126" s="1"/>
  <c r="E30" i="147"/>
  <c r="E30" i="141"/>
  <c r="E47" i="145"/>
  <c r="J42" i="143"/>
  <c r="E37" i="143"/>
  <c r="D14" i="140"/>
  <c r="G26" i="146"/>
  <c r="N17" i="148"/>
  <c r="E32" i="148"/>
  <c r="H77" i="144"/>
  <c r="L77" i="144"/>
  <c r="D82" i="144"/>
  <c r="N12" i="142"/>
  <c r="I18" i="141"/>
  <c r="K26" i="141"/>
  <c r="F26" i="147"/>
  <c r="H42" i="142"/>
  <c r="M72" i="142"/>
  <c r="H72" i="142"/>
  <c r="J77" i="142"/>
  <c r="I82" i="149"/>
  <c r="G10" i="140"/>
  <c r="I82" i="144"/>
  <c r="H81" i="117"/>
  <c r="H82" i="117" s="1"/>
  <c r="I42" i="128"/>
  <c r="F42" i="145"/>
  <c r="O34" i="146"/>
  <c r="O42" i="146"/>
  <c r="K32" i="148"/>
  <c r="E42" i="148"/>
  <c r="O47" i="148"/>
  <c r="E67" i="148"/>
  <c r="O61" i="140"/>
  <c r="O6" i="146"/>
  <c r="I61" i="140"/>
  <c r="I6" i="146"/>
  <c r="H26" i="140"/>
  <c r="M34" i="140"/>
  <c r="L37" i="142"/>
  <c r="M58" i="140"/>
  <c r="I58" i="140"/>
  <c r="G57" i="142"/>
  <c r="M67" i="142"/>
  <c r="T57" i="129"/>
  <c r="S57" i="129"/>
  <c r="E66" i="117"/>
  <c r="D67" i="143"/>
  <c r="F17" i="148"/>
  <c r="D42" i="128"/>
  <c r="R26" i="142"/>
  <c r="R27" i="142" s="1"/>
  <c r="D27" i="142"/>
  <c r="R11" i="142"/>
  <c r="D12" i="142"/>
  <c r="O27" i="144"/>
  <c r="O27" i="151"/>
  <c r="L42" i="148"/>
  <c r="D67" i="151"/>
  <c r="O12" i="144"/>
  <c r="H62" i="144"/>
  <c r="D67" i="144"/>
  <c r="H67" i="144"/>
  <c r="L67" i="144"/>
  <c r="N61" i="140"/>
  <c r="N6" i="146"/>
  <c r="I22" i="140"/>
  <c r="L34" i="140"/>
  <c r="I27" i="142"/>
  <c r="K57" i="142"/>
  <c r="F72" i="142"/>
  <c r="J61" i="140"/>
  <c r="P18" i="140"/>
  <c r="L42" i="128"/>
  <c r="H42" i="128"/>
  <c r="J77" i="145"/>
  <c r="I41" i="145"/>
  <c r="I91" i="145" s="1"/>
  <c r="I37" i="143"/>
  <c r="K7" i="144"/>
  <c r="O32" i="148"/>
  <c r="L67" i="148"/>
  <c r="J26" i="140"/>
  <c r="I30" i="140"/>
  <c r="K27" i="142"/>
  <c r="F61" i="140"/>
  <c r="F6" i="146"/>
  <c r="J12" i="143"/>
  <c r="F42" i="143"/>
  <c r="H37" i="143"/>
  <c r="D22" i="142"/>
  <c r="N22" i="146"/>
  <c r="J17" i="148"/>
  <c r="L27" i="148"/>
  <c r="O42" i="148"/>
  <c r="O57" i="148"/>
  <c r="N77" i="151"/>
  <c r="I47" i="127"/>
  <c r="F72" i="127"/>
  <c r="D77" i="151"/>
  <c r="W76" i="144"/>
  <c r="E22" i="142"/>
  <c r="R33" i="128"/>
  <c r="P30" i="141" s="1"/>
  <c r="O30" i="145"/>
  <c r="D11" i="144"/>
  <c r="D12" i="151" s="1"/>
  <c r="L6" i="147"/>
  <c r="H10" i="147"/>
  <c r="K14" i="147"/>
  <c r="G22" i="147"/>
  <c r="M12" i="148"/>
  <c r="K52" i="148"/>
  <c r="H47" i="149"/>
  <c r="K52" i="149"/>
  <c r="N57" i="149"/>
  <c r="H77" i="149"/>
  <c r="D47" i="151"/>
  <c r="H52" i="151"/>
  <c r="M62" i="151"/>
  <c r="I77" i="151"/>
  <c r="F17" i="151"/>
  <c r="H32" i="143"/>
  <c r="G30" i="146"/>
  <c r="F46" i="117"/>
  <c r="D14" i="146"/>
  <c r="T13" i="140"/>
  <c r="R13" i="140"/>
  <c r="R14" i="140" s="1"/>
  <c r="M6" i="147"/>
  <c r="I10" i="147"/>
  <c r="E14" i="147"/>
  <c r="L14" i="147"/>
  <c r="H22" i="147"/>
  <c r="L52" i="148"/>
  <c r="N72" i="148"/>
  <c r="K77" i="148"/>
  <c r="I7" i="149"/>
  <c r="L12" i="149"/>
  <c r="J22" i="149"/>
  <c r="J27" i="149"/>
  <c r="I47" i="149"/>
  <c r="L52" i="149"/>
  <c r="L62" i="149"/>
  <c r="I67" i="149"/>
  <c r="J32" i="151"/>
  <c r="I37" i="151"/>
  <c r="H42" i="151"/>
  <c r="E47" i="151"/>
  <c r="I52" i="151"/>
  <c r="D62" i="151"/>
  <c r="F67" i="151"/>
  <c r="G82" i="151"/>
  <c r="L17" i="148"/>
  <c r="G26" i="147"/>
  <c r="F42" i="127"/>
  <c r="G30" i="141"/>
  <c r="L17" i="151"/>
  <c r="N38" i="146"/>
  <c r="N42" i="146"/>
  <c r="P45" i="146"/>
  <c r="P46" i="146" s="1"/>
  <c r="F6" i="147"/>
  <c r="J10" i="147"/>
  <c r="F14" i="147"/>
  <c r="I22" i="147"/>
  <c r="I7" i="148"/>
  <c r="O17" i="148"/>
  <c r="N22" i="148"/>
  <c r="N42" i="148"/>
  <c r="M52" i="148"/>
  <c r="N67" i="148"/>
  <c r="O72" i="148"/>
  <c r="J7" i="149"/>
  <c r="E12" i="149"/>
  <c r="M12" i="149"/>
  <c r="K22" i="149"/>
  <c r="K27" i="149"/>
  <c r="J32" i="149"/>
  <c r="E37" i="149"/>
  <c r="H22" i="151"/>
  <c r="K32" i="151"/>
  <c r="L37" i="151"/>
  <c r="I42" i="151"/>
  <c r="F47" i="151"/>
  <c r="J52" i="151"/>
  <c r="E62" i="151"/>
  <c r="H82" i="151"/>
  <c r="F72" i="143"/>
  <c r="D12" i="148"/>
  <c r="F32" i="148"/>
  <c r="G32" i="148"/>
  <c r="G81" i="117"/>
  <c r="T59" i="129"/>
  <c r="D42" i="144"/>
  <c r="D10" i="146"/>
  <c r="R9" i="140"/>
  <c r="T9" i="140"/>
  <c r="H17" i="151"/>
  <c r="O61" i="146"/>
  <c r="U59" i="146" s="1"/>
  <c r="G6" i="147"/>
  <c r="K10" i="147"/>
  <c r="G14" i="147"/>
  <c r="J22" i="147"/>
  <c r="J7" i="148"/>
  <c r="F12" i="148"/>
  <c r="I17" i="148"/>
  <c r="N57" i="148"/>
  <c r="O67" i="148"/>
  <c r="O42" i="149"/>
  <c r="K47" i="149"/>
  <c r="F52" i="149"/>
  <c r="D62" i="149"/>
  <c r="K67" i="149"/>
  <c r="L77" i="149"/>
  <c r="G7" i="151"/>
  <c r="M12" i="151"/>
  <c r="J17" i="151"/>
  <c r="I22" i="151"/>
  <c r="E27" i="151"/>
  <c r="L32" i="151"/>
  <c r="J42" i="151"/>
  <c r="O62" i="151"/>
  <c r="N67" i="151"/>
  <c r="F62" i="151"/>
  <c r="K47" i="148"/>
  <c r="O77" i="152"/>
  <c r="O77" i="145"/>
  <c r="H6" i="147"/>
  <c r="L10" i="147"/>
  <c r="H14" i="147"/>
  <c r="K22" i="147"/>
  <c r="K7" i="148"/>
  <c r="H12" i="148"/>
  <c r="I22" i="148"/>
  <c r="E72" i="148"/>
  <c r="D7" i="149"/>
  <c r="L7" i="149"/>
  <c r="G12" i="149"/>
  <c r="I37" i="149"/>
  <c r="H42" i="149"/>
  <c r="L47" i="149"/>
  <c r="G52" i="149"/>
  <c r="J57" i="149"/>
  <c r="E62" i="149"/>
  <c r="D77" i="149"/>
  <c r="M77" i="149"/>
  <c r="H7" i="151"/>
  <c r="E12" i="151"/>
  <c r="J22" i="151"/>
  <c r="H27" i="151"/>
  <c r="M77" i="151"/>
  <c r="G62" i="151"/>
  <c r="M72" i="143"/>
  <c r="H77" i="148"/>
  <c r="G42" i="146"/>
  <c r="D31" i="117"/>
  <c r="R16" i="142"/>
  <c r="R17" i="142" s="1"/>
  <c r="I6" i="147"/>
  <c r="E10" i="147"/>
  <c r="M10" i="147"/>
  <c r="N18" i="147"/>
  <c r="L7" i="148"/>
  <c r="I12" i="148"/>
  <c r="J22" i="148"/>
  <c r="N27" i="148"/>
  <c r="J67" i="148"/>
  <c r="E7" i="149"/>
  <c r="M7" i="149"/>
  <c r="H12" i="149"/>
  <c r="N27" i="149"/>
  <c r="M32" i="149"/>
  <c r="J37" i="149"/>
  <c r="I42" i="149"/>
  <c r="E47" i="149"/>
  <c r="M47" i="149"/>
  <c r="H52" i="149"/>
  <c r="K57" i="149"/>
  <c r="H62" i="149"/>
  <c r="M67" i="149"/>
  <c r="E72" i="149"/>
  <c r="E77" i="149"/>
  <c r="N77" i="149"/>
  <c r="I7" i="151"/>
  <c r="F12" i="151"/>
  <c r="N37" i="151"/>
  <c r="G12" i="148"/>
  <c r="E46" i="117"/>
  <c r="N58" i="146"/>
  <c r="J6" i="147"/>
  <c r="F10" i="147"/>
  <c r="M22" i="147"/>
  <c r="M7" i="148"/>
  <c r="J12" i="148"/>
  <c r="K17" i="148"/>
  <c r="K22" i="148"/>
  <c r="I52" i="148"/>
  <c r="K72" i="148"/>
  <c r="F7" i="149"/>
  <c r="I12" i="149"/>
  <c r="K37" i="149"/>
  <c r="J42" i="149"/>
  <c r="F47" i="149"/>
  <c r="I52" i="149"/>
  <c r="L57" i="149"/>
  <c r="I62" i="149"/>
  <c r="D67" i="149"/>
  <c r="F77" i="149"/>
  <c r="O17" i="151"/>
  <c r="O37" i="151"/>
  <c r="L82" i="151"/>
  <c r="J37" i="151"/>
  <c r="K6" i="147"/>
  <c r="J14" i="147"/>
  <c r="F22" i="147"/>
  <c r="N22" i="147"/>
  <c r="M26" i="147"/>
  <c r="N7" i="148"/>
  <c r="K12" i="148"/>
  <c r="E17" i="148"/>
  <c r="M17" i="148"/>
  <c r="L22" i="148"/>
  <c r="N32" i="148"/>
  <c r="J52" i="148"/>
  <c r="G7" i="149"/>
  <c r="J12" i="149"/>
  <c r="H22" i="149"/>
  <c r="E32" i="149"/>
  <c r="L37" i="149"/>
  <c r="K42" i="149"/>
  <c r="O42" i="151"/>
  <c r="L62" i="151"/>
  <c r="K67" i="151"/>
  <c r="K12" i="151"/>
  <c r="K37" i="151"/>
  <c r="E72" i="145"/>
  <c r="F58" i="146"/>
  <c r="D7" i="151"/>
  <c r="L7" i="151"/>
  <c r="I12" i="151"/>
  <c r="E22" i="151"/>
  <c r="M22" i="151"/>
  <c r="L27" i="151"/>
  <c r="G32" i="151"/>
  <c r="E37" i="151"/>
  <c r="I47" i="151"/>
  <c r="E52" i="151"/>
  <c r="I62" i="151"/>
  <c r="K77" i="151"/>
  <c r="D82" i="151"/>
  <c r="G27" i="151"/>
  <c r="G42" i="151"/>
  <c r="W71" i="144"/>
  <c r="F56" i="148"/>
  <c r="F57" i="148" s="1"/>
  <c r="E34" i="146"/>
  <c r="D65" i="152"/>
  <c r="P65" i="152" s="1"/>
  <c r="J34" i="146"/>
  <c r="J26" i="147"/>
  <c r="K76" i="152"/>
  <c r="K77" i="152" s="1"/>
  <c r="P61" i="84"/>
  <c r="E86" i="90"/>
  <c r="G38" i="146"/>
  <c r="J77" i="149"/>
  <c r="E7" i="151"/>
  <c r="J12" i="151"/>
  <c r="M17" i="151"/>
  <c r="F22" i="151"/>
  <c r="H32" i="151"/>
  <c r="F37" i="151"/>
  <c r="D42" i="151"/>
  <c r="J47" i="151"/>
  <c r="F52" i="151"/>
  <c r="M57" i="151"/>
  <c r="J62" i="151"/>
  <c r="E72" i="151"/>
  <c r="K72" i="151"/>
  <c r="M82" i="151"/>
  <c r="K27" i="151"/>
  <c r="K42" i="151"/>
  <c r="G42" i="149"/>
  <c r="D70" i="152"/>
  <c r="F37" i="148"/>
  <c r="P57" i="146"/>
  <c r="P58" i="146" s="1"/>
  <c r="D35" i="152"/>
  <c r="H77" i="152"/>
  <c r="D80" i="152"/>
  <c r="J30" i="146"/>
  <c r="E22" i="143"/>
  <c r="P53" i="148"/>
  <c r="P14" i="149"/>
  <c r="T14" i="151" s="1"/>
  <c r="N77" i="148"/>
  <c r="K7" i="149"/>
  <c r="F12" i="149"/>
  <c r="L22" i="149"/>
  <c r="L27" i="149"/>
  <c r="E42" i="149"/>
  <c r="J47" i="149"/>
  <c r="E52" i="149"/>
  <c r="M62" i="149"/>
  <c r="J67" i="149"/>
  <c r="K77" i="149"/>
  <c r="F7" i="151"/>
  <c r="L12" i="151"/>
  <c r="G22" i="151"/>
  <c r="I32" i="151"/>
  <c r="H37" i="151"/>
  <c r="E42" i="151"/>
  <c r="K47" i="151"/>
  <c r="G52" i="151"/>
  <c r="K62" i="151"/>
  <c r="G37" i="151"/>
  <c r="G27" i="149"/>
  <c r="L12" i="148"/>
  <c r="E35" i="147"/>
  <c r="G58" i="146"/>
  <c r="G46" i="148"/>
  <c r="G47" i="148" s="1"/>
  <c r="D64" i="152"/>
  <c r="I46" i="148"/>
  <c r="I47" i="148" s="1"/>
  <c r="I33" i="146"/>
  <c r="I34" i="146" s="1"/>
  <c r="J42" i="146"/>
  <c r="F57" i="149"/>
  <c r="F66" i="148"/>
  <c r="F67" i="148" s="1"/>
  <c r="F74" i="152"/>
  <c r="G53" i="146"/>
  <c r="G54" i="146" s="1"/>
  <c r="J35" i="147"/>
  <c r="J37" i="147" s="1"/>
  <c r="J38" i="147" s="1"/>
  <c r="I27" i="149"/>
  <c r="G62" i="149"/>
  <c r="D61" i="148"/>
  <c r="D62" i="148" s="1"/>
  <c r="P69" i="148"/>
  <c r="P79" i="148" s="1"/>
  <c r="K10" i="79" s="1"/>
  <c r="D79" i="152"/>
  <c r="P79" i="152" s="1"/>
  <c r="E37" i="141"/>
  <c r="L31" i="143"/>
  <c r="L32" i="143" s="1"/>
  <c r="L83" i="143"/>
  <c r="P45" i="140"/>
  <c r="P46" i="140" s="1"/>
  <c r="F76" i="148"/>
  <c r="F77" i="148" s="1"/>
  <c r="K34" i="146"/>
  <c r="D34" i="152"/>
  <c r="D36" i="152" s="1"/>
  <c r="D37" i="152" s="1"/>
  <c r="F60" i="146"/>
  <c r="H46" i="148"/>
  <c r="H47" i="148" s="1"/>
  <c r="H45" i="152"/>
  <c r="H22" i="148"/>
  <c r="D36" i="147"/>
  <c r="I71" i="148"/>
  <c r="I72" i="148" s="1"/>
  <c r="J72" i="148"/>
  <c r="J77" i="152"/>
  <c r="L57" i="151"/>
  <c r="J6" i="146"/>
  <c r="F32" i="149"/>
  <c r="F67" i="149"/>
  <c r="M26" i="146"/>
  <c r="P40" i="148"/>
  <c r="D40" i="152"/>
  <c r="D76" i="148"/>
  <c r="D77" i="148" s="1"/>
  <c r="P75" i="148"/>
  <c r="P76" i="148" s="1"/>
  <c r="P77" i="148" s="1"/>
  <c r="G7" i="148"/>
  <c r="F44" i="152"/>
  <c r="F46" i="148"/>
  <c r="F47" i="148" s="1"/>
  <c r="K26" i="146"/>
  <c r="G26" i="148"/>
  <c r="G27" i="148" s="1"/>
  <c r="G71" i="148"/>
  <c r="G72" i="148" s="1"/>
  <c r="G72" i="151"/>
  <c r="I35" i="147"/>
  <c r="I37" i="147" s="1"/>
  <c r="I38" i="147" s="1"/>
  <c r="I42" i="146"/>
  <c r="J82" i="152"/>
  <c r="F27" i="143"/>
  <c r="H56" i="108"/>
  <c r="F86" i="90"/>
  <c r="P83" i="90"/>
  <c r="L38" i="146"/>
  <c r="G17" i="151"/>
  <c r="G32" i="149"/>
  <c r="G67" i="149"/>
  <c r="G22" i="148"/>
  <c r="N29" i="143"/>
  <c r="N83" i="143"/>
  <c r="H6" i="138" s="1"/>
  <c r="I32" i="148"/>
  <c r="E81" i="152"/>
  <c r="E82" i="152" s="1"/>
  <c r="J18" i="147"/>
  <c r="J42" i="148"/>
  <c r="I77" i="152"/>
  <c r="I57" i="149"/>
  <c r="J38" i="152"/>
  <c r="J41" i="152" s="1"/>
  <c r="J42" i="152" s="1"/>
  <c r="P65" i="148"/>
  <c r="J7" i="151"/>
  <c r="G12" i="151"/>
  <c r="N17" i="151"/>
  <c r="K22" i="151"/>
  <c r="I27" i="151"/>
  <c r="E32" i="151"/>
  <c r="L42" i="151"/>
  <c r="G47" i="151"/>
  <c r="K52" i="151"/>
  <c r="F37" i="149"/>
  <c r="F72" i="149"/>
  <c r="G17" i="148"/>
  <c r="E76" i="152"/>
  <c r="E77" i="152" s="1"/>
  <c r="G35" i="147"/>
  <c r="G37" i="147" s="1"/>
  <c r="G38" i="147" s="1"/>
  <c r="G17" i="147"/>
  <c r="G18" i="147" s="1"/>
  <c r="F28" i="152"/>
  <c r="F88" i="152" s="1"/>
  <c r="E59" i="135" s="1"/>
  <c r="F52" i="148"/>
  <c r="F33" i="146"/>
  <c r="F34" i="146" s="1"/>
  <c r="D22" i="147"/>
  <c r="F81" i="152"/>
  <c r="F82" i="152" s="1"/>
  <c r="P53" i="140"/>
  <c r="P54" i="140" s="1"/>
  <c r="F61" i="111"/>
  <c r="P9" i="111"/>
  <c r="P10" i="140" s="1"/>
  <c r="I57" i="151"/>
  <c r="P39" i="148"/>
  <c r="H7" i="149"/>
  <c r="L17" i="149"/>
  <c r="I22" i="149"/>
  <c r="H27" i="149"/>
  <c r="M37" i="149"/>
  <c r="L42" i="149"/>
  <c r="G47" i="149"/>
  <c r="J52" i="149"/>
  <c r="M57" i="149"/>
  <c r="J62" i="149"/>
  <c r="E67" i="149"/>
  <c r="G77" i="149"/>
  <c r="L82" i="149"/>
  <c r="K7" i="151"/>
  <c r="H12" i="151"/>
  <c r="L22" i="151"/>
  <c r="J27" i="151"/>
  <c r="F32" i="151"/>
  <c r="M42" i="151"/>
  <c r="H47" i="151"/>
  <c r="J72" i="151"/>
  <c r="F27" i="151"/>
  <c r="F42" i="151"/>
  <c r="G37" i="149"/>
  <c r="J72" i="149"/>
  <c r="P29" i="148"/>
  <c r="H7" i="148"/>
  <c r="O83" i="144"/>
  <c r="O86" i="144" s="1"/>
  <c r="G33" i="152"/>
  <c r="G36" i="152" s="1"/>
  <c r="G37" i="152" s="1"/>
  <c r="G36" i="148"/>
  <c r="G37" i="148" s="1"/>
  <c r="F22" i="148"/>
  <c r="D45" i="152"/>
  <c r="P45" i="152" s="1"/>
  <c r="H80" i="148"/>
  <c r="G28" i="135" s="1"/>
  <c r="I67" i="148"/>
  <c r="J30" i="147"/>
  <c r="J46" i="148"/>
  <c r="J47" i="148" s="1"/>
  <c r="J56" i="148"/>
  <c r="J57" i="148" s="1"/>
  <c r="E56" i="108"/>
  <c r="P84" i="90"/>
  <c r="P53" i="146"/>
  <c r="P54" i="146" s="1"/>
  <c r="J63" i="152"/>
  <c r="J66" i="152" s="1"/>
  <c r="H57" i="151"/>
  <c r="K14" i="146"/>
  <c r="H10" i="146"/>
  <c r="P38" i="148"/>
  <c r="L42" i="152"/>
  <c r="L82" i="152"/>
  <c r="F7" i="148"/>
  <c r="E7" i="148"/>
  <c r="I36" i="148"/>
  <c r="I37" i="148" s="1"/>
  <c r="D47" i="149"/>
  <c r="G57" i="151"/>
  <c r="K10" i="146"/>
  <c r="H6" i="146"/>
  <c r="D41" i="146"/>
  <c r="D42" i="146" s="1"/>
  <c r="P23" i="148"/>
  <c r="P26" i="148" s="1"/>
  <c r="P27" i="148" s="1"/>
  <c r="D12" i="149"/>
  <c r="D52" i="148"/>
  <c r="H31" i="152"/>
  <c r="D57" i="149"/>
  <c r="D17" i="148"/>
  <c r="K6" i="146"/>
  <c r="I14" i="146"/>
  <c r="H38" i="146"/>
  <c r="F10" i="146"/>
  <c r="D33" i="146"/>
  <c r="D34" i="146" s="1"/>
  <c r="D37" i="151"/>
  <c r="L36" i="152"/>
  <c r="L37" i="152" s="1"/>
  <c r="L66" i="152"/>
  <c r="L67" i="152" s="1"/>
  <c r="F41" i="148"/>
  <c r="F42" i="148" s="1"/>
  <c r="G41" i="148"/>
  <c r="G42" i="148" s="1"/>
  <c r="D7" i="148"/>
  <c r="P59" i="152"/>
  <c r="P60" i="152"/>
  <c r="G43" i="152"/>
  <c r="G46" i="152" s="1"/>
  <c r="G47" i="152" s="1"/>
  <c r="E57" i="149"/>
  <c r="E57" i="151"/>
  <c r="K38" i="146"/>
  <c r="P5" i="146"/>
  <c r="P6" i="146" s="1"/>
  <c r="D29" i="146"/>
  <c r="P29" i="146" s="1"/>
  <c r="P30" i="146" s="1"/>
  <c r="D25" i="147"/>
  <c r="D26" i="147" s="1"/>
  <c r="P33" i="148"/>
  <c r="D25" i="146"/>
  <c r="P25" i="146" s="1"/>
  <c r="P26" i="146" s="1"/>
  <c r="D17" i="147"/>
  <c r="D18" i="147" s="1"/>
  <c r="P16" i="148"/>
  <c r="P17" i="148" s="1"/>
  <c r="L10" i="146"/>
  <c r="O28" i="145"/>
  <c r="P10" i="152"/>
  <c r="D52" i="151"/>
  <c r="I41" i="148"/>
  <c r="I42" i="148" s="1"/>
  <c r="G57" i="149"/>
  <c r="K57" i="151"/>
  <c r="J14" i="146"/>
  <c r="I38" i="146"/>
  <c r="D21" i="146"/>
  <c r="D22" i="146" s="1"/>
  <c r="P43" i="148"/>
  <c r="P46" i="148" s="1"/>
  <c r="P47" i="148" s="1"/>
  <c r="L76" i="152"/>
  <c r="E52" i="148"/>
  <c r="D22" i="148"/>
  <c r="E22" i="147"/>
  <c r="H86" i="152"/>
  <c r="H87" i="152" s="1"/>
  <c r="I77" i="149"/>
  <c r="H57" i="149"/>
  <c r="J27" i="152"/>
  <c r="J57" i="151"/>
  <c r="J10" i="146"/>
  <c r="E38" i="146"/>
  <c r="O37" i="147"/>
  <c r="O38" i="147" s="1"/>
  <c r="P28" i="148"/>
  <c r="L31" i="152"/>
  <c r="L46" i="152"/>
  <c r="L47" i="152" s="1"/>
  <c r="D36" i="148"/>
  <c r="D37" i="148" s="1"/>
  <c r="D63" i="152"/>
  <c r="L7" i="152"/>
  <c r="D46" i="148"/>
  <c r="D47" i="148" s="1"/>
  <c r="D66" i="148"/>
  <c r="D67" i="148" s="1"/>
  <c r="N46" i="146"/>
  <c r="P61" i="148"/>
  <c r="P62" i="148" s="1"/>
  <c r="N37" i="147"/>
  <c r="N38" i="147" s="1"/>
  <c r="P33" i="147"/>
  <c r="P34" i="147" s="1"/>
  <c r="N61" i="146"/>
  <c r="P51" i="151"/>
  <c r="P52" i="151" s="1"/>
  <c r="P50" i="152"/>
  <c r="H51" i="152"/>
  <c r="H52" i="152" s="1"/>
  <c r="K51" i="152"/>
  <c r="K52" i="152" s="1"/>
  <c r="P71" i="149"/>
  <c r="P72" i="149" s="1"/>
  <c r="T72" i="151" s="1"/>
  <c r="P30" i="152"/>
  <c r="I31" i="152"/>
  <c r="I32" i="152" s="1"/>
  <c r="P31" i="149"/>
  <c r="J31" i="152"/>
  <c r="J32" i="152" s="1"/>
  <c r="D61" i="152"/>
  <c r="D62" i="152" s="1"/>
  <c r="J61" i="152"/>
  <c r="J62" i="152" s="1"/>
  <c r="E61" i="152"/>
  <c r="E62" i="152" s="1"/>
  <c r="J46" i="152"/>
  <c r="J47" i="152" s="1"/>
  <c r="H46" i="152"/>
  <c r="H47" i="152" s="1"/>
  <c r="P44" i="152"/>
  <c r="P40" i="152"/>
  <c r="I41" i="152"/>
  <c r="E31" i="152"/>
  <c r="E32" i="152" s="1"/>
  <c r="G31" i="152"/>
  <c r="G32" i="152" s="1"/>
  <c r="K31" i="152"/>
  <c r="K32" i="152" s="1"/>
  <c r="F31" i="152"/>
  <c r="F32" i="152" s="1"/>
  <c r="P80" i="152"/>
  <c r="K81" i="152"/>
  <c r="K82" i="152" s="1"/>
  <c r="N86" i="149"/>
  <c r="M34" i="135" s="1"/>
  <c r="M47" i="135" s="1"/>
  <c r="H81" i="152"/>
  <c r="H82" i="152" s="1"/>
  <c r="G81" i="152"/>
  <c r="G82" i="152" s="1"/>
  <c r="I81" i="152"/>
  <c r="I82" i="152" s="1"/>
  <c r="P81" i="151"/>
  <c r="P82" i="151" s="1"/>
  <c r="D86" i="152"/>
  <c r="D87" i="152" s="1"/>
  <c r="P76" i="151"/>
  <c r="P77" i="151" s="1"/>
  <c r="P71" i="151"/>
  <c r="P72" i="151" s="1"/>
  <c r="H71" i="152"/>
  <c r="H72" i="152" s="1"/>
  <c r="N86" i="151"/>
  <c r="M40" i="135" s="1"/>
  <c r="M46" i="135" s="1"/>
  <c r="K66" i="152"/>
  <c r="K67" i="152" s="1"/>
  <c r="P66" i="149"/>
  <c r="T66" i="151" s="1"/>
  <c r="E66" i="152"/>
  <c r="E67" i="152" s="1"/>
  <c r="G66" i="152"/>
  <c r="G67" i="152" s="1"/>
  <c r="P36" i="151"/>
  <c r="P37" i="151" s="1"/>
  <c r="H36" i="152"/>
  <c r="H37" i="152" s="1"/>
  <c r="D11" i="138"/>
  <c r="D8" i="138"/>
  <c r="D6" i="138"/>
  <c r="D10" i="138"/>
  <c r="K11" i="152"/>
  <c r="K12" i="152" s="1"/>
  <c r="E12" i="138"/>
  <c r="P16" i="151"/>
  <c r="S16" i="152"/>
  <c r="P14" i="152"/>
  <c r="G10" i="79"/>
  <c r="I10" i="79" s="1"/>
  <c r="P9" i="147"/>
  <c r="P10" i="147" s="1"/>
  <c r="D12" i="138"/>
  <c r="G21" i="152"/>
  <c r="G22" i="152" s="1"/>
  <c r="E11" i="138"/>
  <c r="M86" i="151"/>
  <c r="M87" i="151" s="1"/>
  <c r="P20" i="152"/>
  <c r="J21" i="152"/>
  <c r="J22" i="152" s="1"/>
  <c r="E8" i="138"/>
  <c r="E7" i="138"/>
  <c r="D7" i="138"/>
  <c r="H21" i="152"/>
  <c r="H22" i="152" s="1"/>
  <c r="E6" i="138"/>
  <c r="G10" i="138"/>
  <c r="I10" i="138" s="1"/>
  <c r="G11" i="138"/>
  <c r="I11" i="138" s="1"/>
  <c r="G12" i="138"/>
  <c r="I12" i="138" s="1"/>
  <c r="G8" i="138"/>
  <c r="I8" i="138" s="1"/>
  <c r="G7" i="138"/>
  <c r="H8" i="79"/>
  <c r="P11" i="149"/>
  <c r="T11" i="151" s="1"/>
  <c r="E9" i="79"/>
  <c r="H37" i="147"/>
  <c r="E7" i="79"/>
  <c r="D6" i="79"/>
  <c r="D7" i="79"/>
  <c r="E6" i="79"/>
  <c r="G6" i="79"/>
  <c r="I6" i="79" s="1"/>
  <c r="P27" i="146"/>
  <c r="P83" i="152"/>
  <c r="P23" i="146"/>
  <c r="D43" i="152"/>
  <c r="P43" i="152" s="1"/>
  <c r="P63" i="148"/>
  <c r="K86" i="149"/>
  <c r="J34" i="135" s="1"/>
  <c r="J47" i="135" s="1"/>
  <c r="P6" i="149"/>
  <c r="P7" i="149" s="1"/>
  <c r="T7" i="151" s="1"/>
  <c r="T4" i="151"/>
  <c r="P13" i="152"/>
  <c r="M61" i="146"/>
  <c r="L4" i="135" s="1"/>
  <c r="P9" i="146"/>
  <c r="P10" i="146" s="1"/>
  <c r="G61" i="146"/>
  <c r="F4" i="135" s="1"/>
  <c r="I61" i="152"/>
  <c r="I62" i="152" s="1"/>
  <c r="P61" i="151"/>
  <c r="P62" i="151" s="1"/>
  <c r="P58" i="152"/>
  <c r="F61" i="152"/>
  <c r="F62" i="152" s="1"/>
  <c r="H61" i="152"/>
  <c r="H62" i="152" s="1"/>
  <c r="K61" i="152"/>
  <c r="K62" i="152" s="1"/>
  <c r="G61" i="152"/>
  <c r="G62" i="152" s="1"/>
  <c r="P61" i="149"/>
  <c r="P62" i="149" s="1"/>
  <c r="T62" i="151" s="1"/>
  <c r="T9" i="151"/>
  <c r="P27" i="147"/>
  <c r="P29" i="147" s="1"/>
  <c r="P49" i="152"/>
  <c r="F51" i="152"/>
  <c r="F52" i="152" s="1"/>
  <c r="G51" i="152"/>
  <c r="G52" i="152" s="1"/>
  <c r="J51" i="152"/>
  <c r="J52" i="152" s="1"/>
  <c r="E51" i="152"/>
  <c r="E52" i="152" s="1"/>
  <c r="D51" i="152"/>
  <c r="D52" i="152" s="1"/>
  <c r="I51" i="152"/>
  <c r="I52" i="152" s="1"/>
  <c r="P51" i="149"/>
  <c r="T51" i="151" s="1"/>
  <c r="F46" i="152"/>
  <c r="F47" i="152" s="1"/>
  <c r="P48" i="152"/>
  <c r="K46" i="152"/>
  <c r="K47" i="152" s="1"/>
  <c r="P46" i="151"/>
  <c r="P47" i="151" s="1"/>
  <c r="P46" i="149"/>
  <c r="P47" i="149" s="1"/>
  <c r="T47" i="151" s="1"/>
  <c r="E46" i="152"/>
  <c r="E47" i="152" s="1"/>
  <c r="I46" i="152"/>
  <c r="I47" i="152" s="1"/>
  <c r="P39" i="152"/>
  <c r="K41" i="152"/>
  <c r="K42" i="152" s="1"/>
  <c r="G41" i="152"/>
  <c r="G42" i="152" s="1"/>
  <c r="F41" i="152"/>
  <c r="F42" i="152" s="1"/>
  <c r="P41" i="151"/>
  <c r="P42" i="151" s="1"/>
  <c r="E41" i="152"/>
  <c r="E42" i="152" s="1"/>
  <c r="P41" i="149"/>
  <c r="P42" i="149" s="1"/>
  <c r="T42" i="151" s="1"/>
  <c r="H41" i="152"/>
  <c r="H42" i="152" s="1"/>
  <c r="P31" i="151"/>
  <c r="P32" i="151" s="1"/>
  <c r="P84" i="152"/>
  <c r="P85" i="152"/>
  <c r="K71" i="152"/>
  <c r="K72" i="152" s="1"/>
  <c r="F71" i="152"/>
  <c r="F72" i="152" s="1"/>
  <c r="G71" i="152"/>
  <c r="G72" i="152" s="1"/>
  <c r="P69" i="152"/>
  <c r="J71" i="152"/>
  <c r="J72" i="152" s="1"/>
  <c r="P70" i="152"/>
  <c r="I71" i="152"/>
  <c r="I72" i="152" s="1"/>
  <c r="E71" i="152"/>
  <c r="E72" i="152" s="1"/>
  <c r="P68" i="152"/>
  <c r="H66" i="152"/>
  <c r="H67" i="152" s="1"/>
  <c r="P64" i="152"/>
  <c r="I66" i="152"/>
  <c r="I67" i="152" s="1"/>
  <c r="P81" i="149"/>
  <c r="T81" i="151" s="1"/>
  <c r="D56" i="148"/>
  <c r="D57" i="148" s="1"/>
  <c r="D26" i="148"/>
  <c r="D27" i="148" s="1"/>
  <c r="P23" i="147"/>
  <c r="P25" i="147" s="1"/>
  <c r="P26" i="147" s="1"/>
  <c r="P51" i="148"/>
  <c r="P52" i="148" s="1"/>
  <c r="P39" i="146"/>
  <c r="D31" i="148"/>
  <c r="D32" i="148" s="1"/>
  <c r="F67" i="152"/>
  <c r="P35" i="152"/>
  <c r="F36" i="152"/>
  <c r="F37" i="152" s="1"/>
  <c r="E36" i="152"/>
  <c r="E37" i="152" s="1"/>
  <c r="I36" i="152"/>
  <c r="I37" i="152" s="1"/>
  <c r="J36" i="152"/>
  <c r="J37" i="152" s="1"/>
  <c r="K36" i="152"/>
  <c r="K37" i="152" s="1"/>
  <c r="P36" i="149"/>
  <c r="T36" i="151" s="1"/>
  <c r="P26" i="151"/>
  <c r="P27" i="151" s="1"/>
  <c r="M86" i="149"/>
  <c r="L34" i="135" s="1"/>
  <c r="L47" i="135" s="1"/>
  <c r="P19" i="152"/>
  <c r="P21" i="151"/>
  <c r="P22" i="151" s="1"/>
  <c r="I21" i="152"/>
  <c r="I22" i="152" s="1"/>
  <c r="E21" i="152"/>
  <c r="E22" i="152" s="1"/>
  <c r="F21" i="152"/>
  <c r="F22" i="152" s="1"/>
  <c r="D21" i="152"/>
  <c r="D22" i="152" s="1"/>
  <c r="K21" i="152"/>
  <c r="K22" i="152" s="1"/>
  <c r="P21" i="149"/>
  <c r="T21" i="151" s="1"/>
  <c r="P85" i="151"/>
  <c r="K12" i="138" s="1"/>
  <c r="M12" i="138" s="1"/>
  <c r="P11" i="151"/>
  <c r="P8" i="152"/>
  <c r="G11" i="152"/>
  <c r="G12" i="152" s="1"/>
  <c r="E11" i="152"/>
  <c r="E12" i="152" s="1"/>
  <c r="P9" i="152"/>
  <c r="F11" i="152"/>
  <c r="F12" i="152" s="1"/>
  <c r="H11" i="152"/>
  <c r="H12" i="152" s="1"/>
  <c r="I11" i="152"/>
  <c r="I12" i="152" s="1"/>
  <c r="J11" i="152"/>
  <c r="J12" i="152" s="1"/>
  <c r="D11" i="152"/>
  <c r="D12" i="152" s="1"/>
  <c r="P73" i="152"/>
  <c r="D76" i="152"/>
  <c r="D77" i="152" s="1"/>
  <c r="D38" i="152"/>
  <c r="P56" i="149"/>
  <c r="P57" i="149" s="1"/>
  <c r="T57" i="151" s="1"/>
  <c r="P56" i="151"/>
  <c r="P57" i="151" s="1"/>
  <c r="P54" i="152"/>
  <c r="L86" i="151"/>
  <c r="K40" i="135" s="1"/>
  <c r="K46" i="135" s="1"/>
  <c r="G89" i="152"/>
  <c r="F65" i="135" s="1"/>
  <c r="F89" i="152"/>
  <c r="E65" i="135" s="1"/>
  <c r="F56" i="152"/>
  <c r="F57" i="152" s="1"/>
  <c r="D9" i="79"/>
  <c r="P55" i="152"/>
  <c r="G56" i="152"/>
  <c r="G57" i="152" s="1"/>
  <c r="K56" i="152"/>
  <c r="K57" i="152" s="1"/>
  <c r="G52" i="148"/>
  <c r="H56" i="152"/>
  <c r="H57" i="152" s="1"/>
  <c r="J56" i="152"/>
  <c r="J57" i="152" s="1"/>
  <c r="E89" i="152"/>
  <c r="D65" i="135" s="1"/>
  <c r="H89" i="152"/>
  <c r="G65" i="135" s="1"/>
  <c r="E56" i="152"/>
  <c r="E57" i="152" s="1"/>
  <c r="I56" i="152"/>
  <c r="I57" i="152" s="1"/>
  <c r="K89" i="152"/>
  <c r="G7" i="139" s="1"/>
  <c r="D56" i="152"/>
  <c r="D57" i="152" s="1"/>
  <c r="J89" i="152"/>
  <c r="F81" i="148"/>
  <c r="E10" i="135" s="1"/>
  <c r="P21" i="147"/>
  <c r="P22" i="147" s="1"/>
  <c r="P37" i="146"/>
  <c r="P38" i="146" s="1"/>
  <c r="L61" i="146"/>
  <c r="L62" i="146" s="1"/>
  <c r="H86" i="151"/>
  <c r="H87" i="151" s="1"/>
  <c r="G86" i="151"/>
  <c r="G87" i="151" s="1"/>
  <c r="D86" i="151"/>
  <c r="C40" i="135" s="1"/>
  <c r="C46" i="135" s="1"/>
  <c r="G90" i="152"/>
  <c r="F71" i="135" s="1"/>
  <c r="K86" i="151"/>
  <c r="J40" i="135" s="1"/>
  <c r="J46" i="135" s="1"/>
  <c r="H26" i="152"/>
  <c r="H27" i="152" s="1"/>
  <c r="G26" i="152"/>
  <c r="G27" i="152" s="1"/>
  <c r="P84" i="151"/>
  <c r="K11" i="138" s="1"/>
  <c r="E86" i="151"/>
  <c r="D40" i="135" s="1"/>
  <c r="D46" i="135" s="1"/>
  <c r="J86" i="151"/>
  <c r="I40" i="135" s="1"/>
  <c r="I46" i="135" s="1"/>
  <c r="E10" i="138"/>
  <c r="F86" i="151"/>
  <c r="E40" i="135" s="1"/>
  <c r="E46" i="135" s="1"/>
  <c r="I86" i="151"/>
  <c r="L86" i="149"/>
  <c r="K34" i="135" s="1"/>
  <c r="K47" i="135" s="1"/>
  <c r="P26" i="149"/>
  <c r="P27" i="149" s="1"/>
  <c r="T27" i="151" s="1"/>
  <c r="F86" i="149"/>
  <c r="E34" i="135" s="1"/>
  <c r="E47" i="135" s="1"/>
  <c r="E86" i="149"/>
  <c r="D34" i="135" s="1"/>
  <c r="D47" i="135" s="1"/>
  <c r="J86" i="149"/>
  <c r="J87" i="149" s="1"/>
  <c r="H86" i="149"/>
  <c r="G34" i="135" s="1"/>
  <c r="G47" i="135" s="1"/>
  <c r="I26" i="152"/>
  <c r="I27" i="152" s="1"/>
  <c r="G86" i="149"/>
  <c r="G87" i="149" s="1"/>
  <c r="P25" i="152"/>
  <c r="P85" i="149"/>
  <c r="V85" i="149" s="1"/>
  <c r="K26" i="152"/>
  <c r="K27" i="152" s="1"/>
  <c r="T25" i="151"/>
  <c r="I86" i="149"/>
  <c r="H34" i="135" s="1"/>
  <c r="H47" i="135" s="1"/>
  <c r="F26" i="152"/>
  <c r="F27" i="152" s="1"/>
  <c r="D86" i="149"/>
  <c r="C34" i="135" s="1"/>
  <c r="C47" i="135" s="1"/>
  <c r="G6" i="138"/>
  <c r="K90" i="152"/>
  <c r="J71" i="135" s="1"/>
  <c r="P21" i="148"/>
  <c r="P22" i="148" s="1"/>
  <c r="E26" i="152"/>
  <c r="E27" i="152" s="1"/>
  <c r="H90" i="152"/>
  <c r="G71" i="135" s="1"/>
  <c r="I90" i="152"/>
  <c r="J90" i="152"/>
  <c r="I71" i="135" s="1"/>
  <c r="K88" i="152"/>
  <c r="G6" i="139" s="1"/>
  <c r="I6" i="139" s="1"/>
  <c r="P18" i="152"/>
  <c r="G88" i="152"/>
  <c r="F59" i="135" s="1"/>
  <c r="I88" i="152"/>
  <c r="H59" i="135" s="1"/>
  <c r="P13" i="147"/>
  <c r="P14" i="147" s="1"/>
  <c r="L14" i="146"/>
  <c r="E14" i="146"/>
  <c r="H14" i="146"/>
  <c r="P13" i="146"/>
  <c r="P14" i="146" s="1"/>
  <c r="F14" i="146"/>
  <c r="P6" i="151"/>
  <c r="P7" i="151" s="1"/>
  <c r="D6" i="152"/>
  <c r="D7" i="152" s="1"/>
  <c r="E6" i="152"/>
  <c r="E7" i="152" s="1"/>
  <c r="D10" i="79"/>
  <c r="D11" i="79"/>
  <c r="H6" i="152"/>
  <c r="I6" i="152"/>
  <c r="I7" i="152" s="1"/>
  <c r="E88" i="152"/>
  <c r="D59" i="135" s="1"/>
  <c r="P5" i="152"/>
  <c r="F6" i="152"/>
  <c r="P6" i="148"/>
  <c r="P7" i="148" s="1"/>
  <c r="J16" i="135"/>
  <c r="E10" i="79"/>
  <c r="K22" i="135"/>
  <c r="P4" i="152"/>
  <c r="H88" i="152"/>
  <c r="G59" i="135" s="1"/>
  <c r="E90" i="152"/>
  <c r="D71" i="135" s="1"/>
  <c r="F90" i="152"/>
  <c r="E71" i="135" s="1"/>
  <c r="I89" i="152"/>
  <c r="J6" i="152"/>
  <c r="K6" i="152"/>
  <c r="P3" i="152"/>
  <c r="G6" i="152"/>
  <c r="L37" i="147"/>
  <c r="L38" i="147" s="1"/>
  <c r="P5" i="147"/>
  <c r="P6" i="147" s="1"/>
  <c r="M37" i="147"/>
  <c r="M38" i="147" s="1"/>
  <c r="V6" i="140"/>
  <c r="L7" i="79"/>
  <c r="L9" i="79"/>
  <c r="L6" i="79"/>
  <c r="L8" i="79"/>
  <c r="L10" i="79"/>
  <c r="L11" i="79"/>
  <c r="P18" i="146"/>
  <c r="D78" i="148"/>
  <c r="C16" i="135" s="1"/>
  <c r="D71" i="152"/>
  <c r="D28" i="152"/>
  <c r="N81" i="148"/>
  <c r="D59" i="146"/>
  <c r="G11" i="79"/>
  <c r="I11" i="79" s="1"/>
  <c r="P53" i="152"/>
  <c r="O57" i="113"/>
  <c r="O77" i="113"/>
  <c r="F27" i="127"/>
  <c r="F27" i="113"/>
  <c r="D32" i="126"/>
  <c r="D32" i="117"/>
  <c r="E47" i="126"/>
  <c r="E47" i="117"/>
  <c r="F57" i="127"/>
  <c r="N27" i="127"/>
  <c r="J43" i="117"/>
  <c r="J46" i="117" s="1"/>
  <c r="J47" i="117" s="1"/>
  <c r="E46" i="113"/>
  <c r="F28" i="117"/>
  <c r="F31" i="117" s="1"/>
  <c r="K26" i="113"/>
  <c r="J38" i="117"/>
  <c r="J41" i="117" s="1"/>
  <c r="J42" i="126" s="1"/>
  <c r="O63" i="117"/>
  <c r="O66" i="117" s="1"/>
  <c r="O67" i="117" s="1"/>
  <c r="M38" i="117"/>
  <c r="M41" i="117" s="1"/>
  <c r="L47" i="127"/>
  <c r="H76" i="113"/>
  <c r="O36" i="113"/>
  <c r="I78" i="117"/>
  <c r="I81" i="117" s="1"/>
  <c r="I82" i="126" s="1"/>
  <c r="F78" i="117"/>
  <c r="F81" i="117" s="1"/>
  <c r="F82" i="117" s="1"/>
  <c r="D42" i="126"/>
  <c r="O83" i="113"/>
  <c r="O86" i="113" s="1"/>
  <c r="O87" i="113" s="1"/>
  <c r="G28" i="117"/>
  <c r="G31" i="117" s="1"/>
  <c r="G32" i="117" s="1"/>
  <c r="J83" i="113"/>
  <c r="J86" i="113" s="1"/>
  <c r="L41" i="113"/>
  <c r="D43" i="117"/>
  <c r="D46" i="117" s="1"/>
  <c r="N47" i="117"/>
  <c r="T38" i="113"/>
  <c r="P73" i="113"/>
  <c r="H42" i="127"/>
  <c r="K56" i="113"/>
  <c r="J57" i="113"/>
  <c r="G41" i="113"/>
  <c r="G42" i="113" s="1"/>
  <c r="H27" i="127"/>
  <c r="M47" i="117"/>
  <c r="N67" i="126"/>
  <c r="N67" i="117"/>
  <c r="D27" i="127"/>
  <c r="J67" i="117"/>
  <c r="J67" i="126"/>
  <c r="F47" i="127"/>
  <c r="F47" i="113"/>
  <c r="M27" i="113"/>
  <c r="M27" i="127"/>
  <c r="N36" i="113"/>
  <c r="P33" i="113"/>
  <c r="N83" i="113"/>
  <c r="N86" i="113" s="1"/>
  <c r="L83" i="113"/>
  <c r="L86" i="113" s="1"/>
  <c r="L63" i="117"/>
  <c r="L56" i="113"/>
  <c r="K76" i="113"/>
  <c r="K78" i="117"/>
  <c r="K81" i="117" s="1"/>
  <c r="N76" i="113"/>
  <c r="N78" i="117"/>
  <c r="N81" i="117" s="1"/>
  <c r="I57" i="127"/>
  <c r="I57" i="113"/>
  <c r="H41" i="117"/>
  <c r="H91" i="117" s="1"/>
  <c r="G43" i="117"/>
  <c r="G46" i="117" s="1"/>
  <c r="G46" i="113"/>
  <c r="T43" i="113"/>
  <c r="E78" i="117"/>
  <c r="E81" i="117" s="1"/>
  <c r="E76" i="113"/>
  <c r="E28" i="117"/>
  <c r="E26" i="113"/>
  <c r="T26" i="113" s="1"/>
  <c r="E83" i="113"/>
  <c r="E86" i="113" s="1"/>
  <c r="T23" i="113"/>
  <c r="P23" i="113"/>
  <c r="D63" i="117"/>
  <c r="D56" i="113"/>
  <c r="T53" i="113"/>
  <c r="J72" i="127"/>
  <c r="J77" i="113"/>
  <c r="P28" i="113"/>
  <c r="P43" i="113"/>
  <c r="P53" i="113"/>
  <c r="G83" i="113"/>
  <c r="G86" i="113" s="1"/>
  <c r="K32" i="117"/>
  <c r="J42" i="117"/>
  <c r="N33" i="117"/>
  <c r="M83" i="113"/>
  <c r="M86" i="113" s="1"/>
  <c r="M28" i="117"/>
  <c r="M57" i="113"/>
  <c r="M57" i="127"/>
  <c r="L72" i="127"/>
  <c r="L77" i="113"/>
  <c r="E71" i="113"/>
  <c r="P68" i="113"/>
  <c r="P31" i="113"/>
  <c r="O37" i="117"/>
  <c r="K83" i="113"/>
  <c r="K86" i="113" s="1"/>
  <c r="H57" i="127"/>
  <c r="N42" i="126"/>
  <c r="N42" i="117"/>
  <c r="H67" i="126"/>
  <c r="H67" i="117"/>
  <c r="N32" i="126"/>
  <c r="N32" i="117"/>
  <c r="N42" i="127"/>
  <c r="N42" i="113"/>
  <c r="J47" i="113"/>
  <c r="H47" i="113"/>
  <c r="H47" i="127"/>
  <c r="J27" i="127"/>
  <c r="O32" i="113"/>
  <c r="O47" i="113"/>
  <c r="D27" i="113"/>
  <c r="M67" i="126"/>
  <c r="K67" i="126"/>
  <c r="N47" i="127"/>
  <c r="N47" i="113"/>
  <c r="J82" i="117"/>
  <c r="J82" i="126"/>
  <c r="T68" i="113"/>
  <c r="G27" i="127"/>
  <c r="G27" i="113"/>
  <c r="F67" i="126"/>
  <c r="F67" i="117"/>
  <c r="H32" i="117"/>
  <c r="H32" i="126"/>
  <c r="F42" i="113"/>
  <c r="J42" i="113"/>
  <c r="J31" i="117"/>
  <c r="O28" i="117"/>
  <c r="O26" i="113"/>
  <c r="P26" i="113" s="1"/>
  <c r="L42" i="117"/>
  <c r="M42" i="113"/>
  <c r="O41" i="113"/>
  <c r="O38" i="117"/>
  <c r="O41" i="117" s="1"/>
  <c r="M78" i="117"/>
  <c r="M81" i="117" s="1"/>
  <c r="M76" i="113"/>
  <c r="I41" i="113"/>
  <c r="I83" i="113"/>
  <c r="I86" i="113" s="1"/>
  <c r="I38" i="117"/>
  <c r="H43" i="117"/>
  <c r="H46" i="117" s="1"/>
  <c r="H83" i="113"/>
  <c r="F38" i="117"/>
  <c r="P38" i="113"/>
  <c r="D83" i="113"/>
  <c r="D41" i="113"/>
  <c r="G77" i="113"/>
  <c r="K46" i="113"/>
  <c r="K43" i="117"/>
  <c r="I77" i="113"/>
  <c r="I72" i="127"/>
  <c r="T73" i="113"/>
  <c r="D78" i="117"/>
  <c r="F83" i="113"/>
  <c r="F86" i="113" s="1"/>
  <c r="D47" i="127"/>
  <c r="D47" i="113"/>
  <c r="G9" i="79"/>
  <c r="K16" i="135"/>
  <c r="L81" i="148"/>
  <c r="D26" i="152"/>
  <c r="P23" i="152"/>
  <c r="N22" i="135"/>
  <c r="O81" i="148"/>
  <c r="U78" i="148" s="1"/>
  <c r="J28" i="135"/>
  <c r="E11" i="79"/>
  <c r="P83" i="151"/>
  <c r="K81" i="148"/>
  <c r="P76" i="149"/>
  <c r="P83" i="149"/>
  <c r="L22" i="135"/>
  <c r="M81" i="148"/>
  <c r="D71" i="148"/>
  <c r="D72" i="148" s="1"/>
  <c r="P68" i="148"/>
  <c r="D78" i="152"/>
  <c r="P15" i="147"/>
  <c r="P17" i="147" s="1"/>
  <c r="P18" i="147" s="1"/>
  <c r="D35" i="147"/>
  <c r="P11" i="148"/>
  <c r="J81" i="148" l="1"/>
  <c r="J82" i="148" s="1"/>
  <c r="N62" i="146"/>
  <c r="T59" i="146"/>
  <c r="U60" i="146" s="1"/>
  <c r="V60" i="146" s="1"/>
  <c r="N82" i="148"/>
  <c r="T78" i="148"/>
  <c r="U79" i="148" s="1"/>
  <c r="V79" i="148" s="1"/>
  <c r="I81" i="148"/>
  <c r="I82" i="148" s="1"/>
  <c r="P41" i="146"/>
  <c r="P42" i="146" s="1"/>
  <c r="R66" i="151"/>
  <c r="P66" i="148"/>
  <c r="P67" i="148" s="1"/>
  <c r="P56" i="148"/>
  <c r="P57" i="148" s="1"/>
  <c r="P36" i="148"/>
  <c r="P37" i="148" s="1"/>
  <c r="P31" i="148"/>
  <c r="P32" i="148" s="1"/>
  <c r="P59" i="146"/>
  <c r="K6" i="79" s="1"/>
  <c r="M6" i="79" s="1"/>
  <c r="P33" i="146"/>
  <c r="P34" i="146" s="1"/>
  <c r="F61" i="146"/>
  <c r="E4" i="135" s="1"/>
  <c r="J61" i="146"/>
  <c r="I4" i="135" s="1"/>
  <c r="P60" i="146"/>
  <c r="K7" i="79" s="1"/>
  <c r="M7" i="79" s="1"/>
  <c r="R93" i="120"/>
  <c r="R88" i="120"/>
  <c r="M7" i="117"/>
  <c r="M7" i="126"/>
  <c r="D30" i="146"/>
  <c r="S71" i="127"/>
  <c r="R16" i="124"/>
  <c r="T42" i="125"/>
  <c r="H7" i="126"/>
  <c r="R36" i="117"/>
  <c r="S36" i="126" s="1"/>
  <c r="G38" i="141"/>
  <c r="K91" i="108"/>
  <c r="K57" i="117"/>
  <c r="K42" i="146"/>
  <c r="E72" i="126"/>
  <c r="E72" i="117"/>
  <c r="H32" i="142"/>
  <c r="H32" i="127"/>
  <c r="M91" i="108"/>
  <c r="K87" i="144"/>
  <c r="J41" i="135"/>
  <c r="J72" i="126"/>
  <c r="P22" i="129"/>
  <c r="F91" i="108"/>
  <c r="N77" i="145"/>
  <c r="G67" i="145"/>
  <c r="G77" i="145"/>
  <c r="H77" i="145"/>
  <c r="O67" i="126"/>
  <c r="P86" i="90"/>
  <c r="R77" i="142"/>
  <c r="W16" i="125"/>
  <c r="R66" i="125"/>
  <c r="S21" i="124"/>
  <c r="F127" i="148"/>
  <c r="G127" i="148" s="1"/>
  <c r="H127" i="148" s="1"/>
  <c r="I127" i="148" s="1"/>
  <c r="J127" i="148" s="1"/>
  <c r="K127" i="148" s="1"/>
  <c r="R66" i="126"/>
  <c r="P14" i="145"/>
  <c r="R56" i="126"/>
  <c r="P56" i="126"/>
  <c r="D57" i="126"/>
  <c r="L12" i="152"/>
  <c r="L12" i="145"/>
  <c r="J89" i="145"/>
  <c r="I66" i="135" s="1"/>
  <c r="M57" i="145"/>
  <c r="M57" i="152"/>
  <c r="G62" i="126"/>
  <c r="P71" i="148"/>
  <c r="P72" i="148" s="1"/>
  <c r="P21" i="146"/>
  <c r="P22" i="146" s="1"/>
  <c r="O72" i="127"/>
  <c r="E61" i="146"/>
  <c r="E62" i="146" s="1"/>
  <c r="E81" i="148"/>
  <c r="D10" i="135" s="1"/>
  <c r="P36" i="147"/>
  <c r="G77" i="152"/>
  <c r="M72" i="126"/>
  <c r="S56" i="145"/>
  <c r="P57" i="145"/>
  <c r="J86" i="144"/>
  <c r="I41" i="135" s="1"/>
  <c r="L11" i="138"/>
  <c r="L9" i="138" s="1"/>
  <c r="J57" i="126"/>
  <c r="J57" i="145"/>
  <c r="E57" i="145"/>
  <c r="I57" i="126"/>
  <c r="I57" i="117"/>
  <c r="L52" i="145"/>
  <c r="L52" i="126"/>
  <c r="O82" i="126"/>
  <c r="H31" i="145"/>
  <c r="H89" i="145"/>
  <c r="M32" i="145"/>
  <c r="M32" i="152"/>
  <c r="G57" i="117"/>
  <c r="G57" i="126"/>
  <c r="H61" i="146"/>
  <c r="H62" i="146" s="1"/>
  <c r="G82" i="126"/>
  <c r="S90" i="117"/>
  <c r="E62" i="145"/>
  <c r="P61" i="145"/>
  <c r="T61" i="145" s="1"/>
  <c r="L57" i="145"/>
  <c r="L57" i="126"/>
  <c r="O22" i="126"/>
  <c r="O22" i="145"/>
  <c r="G87" i="120"/>
  <c r="S86" i="120"/>
  <c r="G104" i="120"/>
  <c r="G106" i="120" s="1"/>
  <c r="N82" i="113"/>
  <c r="N77" i="127"/>
  <c r="F7" i="127"/>
  <c r="F7" i="113"/>
  <c r="N87" i="125"/>
  <c r="F37" i="145"/>
  <c r="H42" i="112"/>
  <c r="R51" i="126"/>
  <c r="M87" i="126"/>
  <c r="M87" i="143"/>
  <c r="N57" i="126"/>
  <c r="N57" i="145"/>
  <c r="S41" i="128"/>
  <c r="F38" i="141"/>
  <c r="P12" i="151"/>
  <c r="H38" i="147"/>
  <c r="H32" i="152"/>
  <c r="L32" i="149"/>
  <c r="P51" i="108"/>
  <c r="P41" i="87"/>
  <c r="P42" i="112" s="1"/>
  <c r="P61" i="117"/>
  <c r="P62" i="117" s="1"/>
  <c r="P22" i="123"/>
  <c r="F42" i="128"/>
  <c r="D57" i="145"/>
  <c r="R56" i="117"/>
  <c r="K37" i="126"/>
  <c r="K87" i="126"/>
  <c r="K87" i="145"/>
  <c r="K57" i="145"/>
  <c r="P7" i="124"/>
  <c r="L87" i="126"/>
  <c r="P85" i="144"/>
  <c r="K67" i="113"/>
  <c r="K67" i="127"/>
  <c r="I17" i="144"/>
  <c r="G91" i="145"/>
  <c r="F54" i="135" s="1"/>
  <c r="O87" i="125"/>
  <c r="S71" i="145"/>
  <c r="H82" i="126"/>
  <c r="T46" i="113"/>
  <c r="P17" i="151"/>
  <c r="P34" i="152"/>
  <c r="D66" i="152"/>
  <c r="D67" i="152" s="1"/>
  <c r="L77" i="152"/>
  <c r="S60" i="129"/>
  <c r="P52" i="120"/>
  <c r="T6" i="113"/>
  <c r="P47" i="124"/>
  <c r="M87" i="144"/>
  <c r="M87" i="125"/>
  <c r="P27" i="145"/>
  <c r="S26" i="145"/>
  <c r="L22" i="126"/>
  <c r="M91" i="145"/>
  <c r="K37" i="145"/>
  <c r="G12" i="126"/>
  <c r="P82" i="125"/>
  <c r="P82" i="120"/>
  <c r="E42" i="128"/>
  <c r="E42" i="112"/>
  <c r="E37" i="147"/>
  <c r="E38" i="147" s="1"/>
  <c r="S61" i="126"/>
  <c r="P72" i="145"/>
  <c r="F57" i="145"/>
  <c r="F57" i="126"/>
  <c r="O57" i="126"/>
  <c r="O57" i="117"/>
  <c r="J66" i="145"/>
  <c r="P66" i="145" s="1"/>
  <c r="P64" i="145"/>
  <c r="L29" i="145"/>
  <c r="L84" i="143"/>
  <c r="L86" i="143" s="1"/>
  <c r="L87" i="149" s="1"/>
  <c r="P11" i="145"/>
  <c r="T11" i="145" s="1"/>
  <c r="J37" i="126"/>
  <c r="F12" i="126"/>
  <c r="M27" i="126"/>
  <c r="M27" i="117"/>
  <c r="R81" i="151"/>
  <c r="D90" i="152"/>
  <c r="C71" i="135" s="1"/>
  <c r="D89" i="152"/>
  <c r="C65" i="135" s="1"/>
  <c r="P41" i="148"/>
  <c r="P42" i="148" s="1"/>
  <c r="P84" i="149"/>
  <c r="V84" i="149" s="1"/>
  <c r="P16" i="149"/>
  <c r="P17" i="149" s="1"/>
  <c r="T17" i="151" s="1"/>
  <c r="H54" i="135"/>
  <c r="P7" i="145"/>
  <c r="S6" i="145"/>
  <c r="P62" i="145"/>
  <c r="S61" i="145"/>
  <c r="F62" i="111"/>
  <c r="R61" i="111"/>
  <c r="T61" i="111"/>
  <c r="M75" i="111"/>
  <c r="O90" i="145"/>
  <c r="P30" i="145"/>
  <c r="R86" i="117"/>
  <c r="S86" i="126" s="1"/>
  <c r="D87" i="117"/>
  <c r="O62" i="146"/>
  <c r="N4" i="135"/>
  <c r="I5" i="135"/>
  <c r="J62" i="140"/>
  <c r="E67" i="117"/>
  <c r="E67" i="126"/>
  <c r="F82" i="142"/>
  <c r="E11" i="135"/>
  <c r="I86" i="125"/>
  <c r="W83" i="125"/>
  <c r="P83" i="125"/>
  <c r="K77" i="145"/>
  <c r="K77" i="126"/>
  <c r="G87" i="126"/>
  <c r="G87" i="145"/>
  <c r="R76" i="126"/>
  <c r="D77" i="126"/>
  <c r="K22" i="117"/>
  <c r="K22" i="126"/>
  <c r="I7" i="126"/>
  <c r="I7" i="117"/>
  <c r="N52" i="117"/>
  <c r="P83" i="117"/>
  <c r="P17" i="143"/>
  <c r="P12" i="144"/>
  <c r="R11" i="144"/>
  <c r="P41" i="145"/>
  <c r="P12" i="145"/>
  <c r="M4" i="135"/>
  <c r="L6" i="138"/>
  <c r="P61" i="140"/>
  <c r="D103" i="146"/>
  <c r="E103" i="146" s="1"/>
  <c r="F103" i="146" s="1"/>
  <c r="G103" i="146" s="1"/>
  <c r="H103" i="146" s="1"/>
  <c r="I103" i="146" s="1"/>
  <c r="J103" i="146" s="1"/>
  <c r="K103" i="146" s="1"/>
  <c r="R61" i="140"/>
  <c r="C5" i="135"/>
  <c r="T61" i="140"/>
  <c r="D62" i="140"/>
  <c r="D5" i="135"/>
  <c r="R66" i="140"/>
  <c r="E63" i="140"/>
  <c r="F63" i="140" s="1"/>
  <c r="E62" i="140"/>
  <c r="R66" i="144"/>
  <c r="P67" i="144"/>
  <c r="R42" i="140"/>
  <c r="H62" i="129"/>
  <c r="F65" i="129"/>
  <c r="J46" i="127"/>
  <c r="K43" i="127"/>
  <c r="M43" i="127" s="1"/>
  <c r="J43" i="126"/>
  <c r="J88" i="126" s="1"/>
  <c r="I41" i="127"/>
  <c r="I78" i="127"/>
  <c r="K38" i="127"/>
  <c r="I38" i="126"/>
  <c r="T61" i="129"/>
  <c r="S61" i="129"/>
  <c r="I73" i="129"/>
  <c r="P61" i="129"/>
  <c r="D62" i="129"/>
  <c r="G7" i="127"/>
  <c r="G7" i="113"/>
  <c r="M37" i="117"/>
  <c r="M37" i="126"/>
  <c r="L52" i="117"/>
  <c r="H17" i="113"/>
  <c r="H17" i="127"/>
  <c r="P16" i="113"/>
  <c r="P84" i="144"/>
  <c r="N29" i="145"/>
  <c r="N31" i="143"/>
  <c r="P32" i="149" s="1"/>
  <c r="T32" i="151" s="1"/>
  <c r="N84" i="143"/>
  <c r="H7" i="138" s="1"/>
  <c r="I7" i="138" s="1"/>
  <c r="P29" i="143"/>
  <c r="J32" i="145"/>
  <c r="K7" i="113"/>
  <c r="K7" i="127"/>
  <c r="P12" i="120"/>
  <c r="P12" i="125"/>
  <c r="P38" i="152"/>
  <c r="P33" i="152"/>
  <c r="L32" i="117"/>
  <c r="G32" i="126"/>
  <c r="G42" i="117"/>
  <c r="G42" i="127"/>
  <c r="P80" i="148"/>
  <c r="P63" i="152"/>
  <c r="G81" i="148"/>
  <c r="G82" i="148" s="1"/>
  <c r="O31" i="145"/>
  <c r="O88" i="145"/>
  <c r="P28" i="145"/>
  <c r="F47" i="126"/>
  <c r="F47" i="117"/>
  <c r="R12" i="142"/>
  <c r="P22" i="142"/>
  <c r="P81" i="142"/>
  <c r="L5" i="135"/>
  <c r="M62" i="140"/>
  <c r="L66" i="135"/>
  <c r="P10" i="141"/>
  <c r="R30" i="140"/>
  <c r="O22" i="140"/>
  <c r="O22" i="129"/>
  <c r="T90" i="126"/>
  <c r="F22" i="126"/>
  <c r="F22" i="117"/>
  <c r="O7" i="126"/>
  <c r="J89" i="117"/>
  <c r="P71" i="117"/>
  <c r="P42" i="140"/>
  <c r="R36" i="126"/>
  <c r="P37" i="145" s="1"/>
  <c r="R81" i="126"/>
  <c r="J82" i="113"/>
  <c r="J77" i="127"/>
  <c r="D21" i="117"/>
  <c r="D22" i="126" s="1"/>
  <c r="P18" i="117"/>
  <c r="P21" i="117" s="1"/>
  <c r="P22" i="117" s="1"/>
  <c r="P67" i="124"/>
  <c r="P67" i="123"/>
  <c r="M52" i="117"/>
  <c r="M52" i="126"/>
  <c r="H22" i="126"/>
  <c r="H22" i="117"/>
  <c r="L87" i="125"/>
  <c r="L87" i="144"/>
  <c r="P76" i="126"/>
  <c r="D37" i="113"/>
  <c r="D37" i="127"/>
  <c r="T36" i="113"/>
  <c r="R36" i="113"/>
  <c r="P27" i="126"/>
  <c r="L37" i="127"/>
  <c r="L37" i="113"/>
  <c r="H91" i="108"/>
  <c r="H57" i="117"/>
  <c r="E5" i="135"/>
  <c r="F62" i="140"/>
  <c r="H5" i="135"/>
  <c r="I62" i="140"/>
  <c r="P26" i="127"/>
  <c r="G11" i="135"/>
  <c r="H82" i="142"/>
  <c r="R67" i="142"/>
  <c r="G81" i="127"/>
  <c r="R79" i="127"/>
  <c r="G7" i="126"/>
  <c r="G7" i="145"/>
  <c r="G91" i="126"/>
  <c r="E87" i="126"/>
  <c r="E87" i="117"/>
  <c r="I62" i="127"/>
  <c r="I62" i="113"/>
  <c r="S26" i="124"/>
  <c r="P27" i="143"/>
  <c r="M7" i="127"/>
  <c r="M7" i="113"/>
  <c r="R89" i="126"/>
  <c r="P89" i="126"/>
  <c r="R21" i="126"/>
  <c r="D91" i="126"/>
  <c r="G77" i="127"/>
  <c r="G82" i="113"/>
  <c r="E7" i="113"/>
  <c r="E7" i="127"/>
  <c r="P6" i="113"/>
  <c r="R6" i="113"/>
  <c r="R11" i="117"/>
  <c r="S11" i="126" s="1"/>
  <c r="D12" i="117"/>
  <c r="J87" i="126"/>
  <c r="J87" i="117"/>
  <c r="K72" i="117"/>
  <c r="K72" i="126"/>
  <c r="D87" i="126"/>
  <c r="P82" i="145"/>
  <c r="S81" i="145"/>
  <c r="T81" i="145"/>
  <c r="S36" i="145"/>
  <c r="T36" i="145"/>
  <c r="P52" i="117"/>
  <c r="P52" i="126"/>
  <c r="P86" i="120"/>
  <c r="P87" i="120" s="1"/>
  <c r="J54" i="135"/>
  <c r="R31" i="126"/>
  <c r="E77" i="126"/>
  <c r="E91" i="126"/>
  <c r="E92" i="145" s="1"/>
  <c r="G22" i="113"/>
  <c r="R21" i="113"/>
  <c r="G22" i="127"/>
  <c r="P21" i="113"/>
  <c r="R36" i="151"/>
  <c r="L91" i="152"/>
  <c r="G82" i="117"/>
  <c r="H81" i="148"/>
  <c r="G10" i="135" s="1"/>
  <c r="R16" i="144"/>
  <c r="P17" i="144"/>
  <c r="L62" i="140"/>
  <c r="K5" i="135"/>
  <c r="O41" i="128"/>
  <c r="P39" i="128"/>
  <c r="P41" i="128" s="1"/>
  <c r="P42" i="128" s="1"/>
  <c r="G5" i="135"/>
  <c r="H62" i="140"/>
  <c r="J86" i="127"/>
  <c r="J31" i="127"/>
  <c r="J78" i="127"/>
  <c r="J81" i="127" s="1"/>
  <c r="J82" i="142" s="1"/>
  <c r="K28" i="127"/>
  <c r="M28" i="127" s="1"/>
  <c r="K42" i="140"/>
  <c r="K42" i="129"/>
  <c r="P60" i="129"/>
  <c r="U60" i="129" s="1"/>
  <c r="S21" i="129"/>
  <c r="R72" i="142"/>
  <c r="L47" i="145"/>
  <c r="L47" i="126"/>
  <c r="J91" i="108"/>
  <c r="J52" i="117"/>
  <c r="P26" i="108"/>
  <c r="P88" i="108"/>
  <c r="G87" i="125"/>
  <c r="G87" i="144"/>
  <c r="W86" i="125"/>
  <c r="H104" i="120"/>
  <c r="H106" i="120" s="1"/>
  <c r="H107" i="120" s="1"/>
  <c r="I91" i="108"/>
  <c r="I52" i="117"/>
  <c r="P90" i="126"/>
  <c r="R90" i="126"/>
  <c r="P3" i="117"/>
  <c r="P6" i="117" s="1"/>
  <c r="E6" i="117"/>
  <c r="R71" i="117"/>
  <c r="S71" i="126" s="1"/>
  <c r="P84" i="117"/>
  <c r="P89" i="117" s="1"/>
  <c r="D89" i="117"/>
  <c r="S89" i="117" s="1"/>
  <c r="R81" i="113"/>
  <c r="T81" i="113"/>
  <c r="D82" i="113"/>
  <c r="D77" i="127"/>
  <c r="P81" i="113"/>
  <c r="S86" i="145"/>
  <c r="R86" i="126"/>
  <c r="P87" i="145" s="1"/>
  <c r="D22" i="145"/>
  <c r="D54" i="135"/>
  <c r="P12" i="142"/>
  <c r="N62" i="140"/>
  <c r="M5" i="135"/>
  <c r="H5" i="79"/>
  <c r="H86" i="124"/>
  <c r="P83" i="124"/>
  <c r="R83" i="124"/>
  <c r="T83" i="125"/>
  <c r="E42" i="126"/>
  <c r="E42" i="117"/>
  <c r="N41" i="135"/>
  <c r="O87" i="151"/>
  <c r="O87" i="144"/>
  <c r="D26" i="146"/>
  <c r="O57" i="127"/>
  <c r="L5" i="79"/>
  <c r="I61" i="146"/>
  <c r="I62" i="146" s="1"/>
  <c r="J88" i="152"/>
  <c r="I59" i="135" s="1"/>
  <c r="I42" i="152"/>
  <c r="P61" i="111"/>
  <c r="F76" i="152"/>
  <c r="F77" i="152" s="1"/>
  <c r="P74" i="152"/>
  <c r="M17" i="149"/>
  <c r="N5" i="135"/>
  <c r="O62" i="140"/>
  <c r="R58" i="140"/>
  <c r="I32" i="142"/>
  <c r="I32" i="127"/>
  <c r="P59" i="129"/>
  <c r="U59" i="129" s="1"/>
  <c r="T21" i="129"/>
  <c r="R22" i="140" s="1"/>
  <c r="F62" i="129"/>
  <c r="O42" i="140"/>
  <c r="O42" i="129"/>
  <c r="R34" i="140"/>
  <c r="D91" i="108"/>
  <c r="O37" i="126"/>
  <c r="R56" i="127"/>
  <c r="P57" i="142" s="1"/>
  <c r="J12" i="117"/>
  <c r="J12" i="126"/>
  <c r="P73" i="117"/>
  <c r="P76" i="117" s="1"/>
  <c r="P77" i="117" s="1"/>
  <c r="J76" i="117"/>
  <c r="T21" i="113"/>
  <c r="L12" i="117"/>
  <c r="L12" i="126"/>
  <c r="R26" i="117"/>
  <c r="S26" i="126" s="1"/>
  <c r="D27" i="117"/>
  <c r="D27" i="126"/>
  <c r="O7" i="127"/>
  <c r="O7" i="113"/>
  <c r="P86" i="123"/>
  <c r="P87" i="123" s="1"/>
  <c r="L42" i="112"/>
  <c r="P61" i="113"/>
  <c r="J87" i="124"/>
  <c r="J87" i="143"/>
  <c r="J88" i="117"/>
  <c r="P37" i="141"/>
  <c r="E38" i="141"/>
  <c r="R37" i="141"/>
  <c r="R38" i="141" s="1"/>
  <c r="R10" i="140"/>
  <c r="S9" i="140"/>
  <c r="D61" i="146"/>
  <c r="D62" i="146" s="1"/>
  <c r="T31" i="151"/>
  <c r="R31" i="151" s="1"/>
  <c r="P30" i="147"/>
  <c r="P56" i="108"/>
  <c r="P57" i="117" s="1"/>
  <c r="E91" i="108"/>
  <c r="E57" i="117"/>
  <c r="P10" i="111"/>
  <c r="P10" i="129"/>
  <c r="N86" i="143"/>
  <c r="W11" i="144"/>
  <c r="D12" i="144"/>
  <c r="K62" i="140"/>
  <c r="J5" i="135"/>
  <c r="G62" i="140"/>
  <c r="F5" i="135"/>
  <c r="I86" i="127"/>
  <c r="L7" i="126"/>
  <c r="L91" i="126"/>
  <c r="L7" i="145"/>
  <c r="S41" i="129"/>
  <c r="R14" i="141"/>
  <c r="D11" i="135"/>
  <c r="R81" i="142"/>
  <c r="E82" i="142"/>
  <c r="E83" i="142"/>
  <c r="F83" i="142" s="1"/>
  <c r="H62" i="126"/>
  <c r="H91" i="126"/>
  <c r="H62" i="145"/>
  <c r="F7" i="126"/>
  <c r="F91" i="126"/>
  <c r="F92" i="145" s="1"/>
  <c r="F7" i="145"/>
  <c r="S56" i="127"/>
  <c r="R57" i="142" s="1"/>
  <c r="M22" i="127"/>
  <c r="M22" i="113"/>
  <c r="J67" i="127"/>
  <c r="J67" i="113"/>
  <c r="N7" i="117"/>
  <c r="N7" i="126"/>
  <c r="J17" i="143"/>
  <c r="J17" i="124"/>
  <c r="T17" i="125" s="1"/>
  <c r="M62" i="127"/>
  <c r="M62" i="113"/>
  <c r="P66" i="113"/>
  <c r="M42" i="112"/>
  <c r="M42" i="128"/>
  <c r="S76" i="145"/>
  <c r="P77" i="145"/>
  <c r="T76" i="145"/>
  <c r="P27" i="123"/>
  <c r="P27" i="124"/>
  <c r="O7" i="145"/>
  <c r="L37" i="117"/>
  <c r="L37" i="126"/>
  <c r="P12" i="126"/>
  <c r="T71" i="151"/>
  <c r="R71" i="151" s="1"/>
  <c r="R51" i="151"/>
  <c r="P67" i="149"/>
  <c r="T67" i="151" s="1"/>
  <c r="P22" i="149"/>
  <c r="T22" i="151" s="1"/>
  <c r="P86" i="152"/>
  <c r="P87" i="152" s="1"/>
  <c r="L40" i="135"/>
  <c r="L46" i="135" s="1"/>
  <c r="L48" i="135" s="1"/>
  <c r="N87" i="151"/>
  <c r="P66" i="152"/>
  <c r="S66" i="152" s="1"/>
  <c r="K4" i="135"/>
  <c r="D5" i="138"/>
  <c r="D9" i="138"/>
  <c r="M48" i="135"/>
  <c r="E9" i="138"/>
  <c r="E5" i="138"/>
  <c r="G9" i="138"/>
  <c r="I9" i="138" s="1"/>
  <c r="G5" i="138"/>
  <c r="T61" i="151"/>
  <c r="R61" i="151" s="1"/>
  <c r="P12" i="149"/>
  <c r="T12" i="151" s="1"/>
  <c r="T41" i="151"/>
  <c r="R41" i="151" s="1"/>
  <c r="E7" i="139"/>
  <c r="D8" i="139"/>
  <c r="G5" i="79"/>
  <c r="T56" i="151"/>
  <c r="R56" i="151" s="1"/>
  <c r="M10" i="135"/>
  <c r="D46" i="152"/>
  <c r="D47" i="152" s="1"/>
  <c r="K87" i="149"/>
  <c r="T6" i="151"/>
  <c r="R6" i="151" s="1"/>
  <c r="M62" i="146"/>
  <c r="G62" i="146"/>
  <c r="P61" i="152"/>
  <c r="S61" i="152" s="1"/>
  <c r="T46" i="151"/>
  <c r="R46" i="151" s="1"/>
  <c r="R21" i="151"/>
  <c r="P52" i="149"/>
  <c r="T52" i="151" s="1"/>
  <c r="P51" i="152"/>
  <c r="P52" i="152" s="1"/>
  <c r="P82" i="149"/>
  <c r="T82" i="151" s="1"/>
  <c r="P37" i="149"/>
  <c r="T37" i="151" s="1"/>
  <c r="P36" i="152"/>
  <c r="M87" i="149"/>
  <c r="P21" i="152"/>
  <c r="R11" i="151"/>
  <c r="G40" i="135"/>
  <c r="G46" i="135" s="1"/>
  <c r="G48" i="135" s="1"/>
  <c r="I65" i="135"/>
  <c r="P11" i="152"/>
  <c r="P12" i="152" s="1"/>
  <c r="H87" i="149"/>
  <c r="D41" i="152"/>
  <c r="P41" i="152" s="1"/>
  <c r="D88" i="152"/>
  <c r="M10" i="79"/>
  <c r="L87" i="151"/>
  <c r="D87" i="151"/>
  <c r="F40" i="135"/>
  <c r="F46" i="135" s="1"/>
  <c r="J65" i="135"/>
  <c r="I87" i="149"/>
  <c r="P89" i="152"/>
  <c r="F82" i="148"/>
  <c r="P56" i="152"/>
  <c r="P57" i="152" s="1"/>
  <c r="K48" i="135"/>
  <c r="H91" i="152"/>
  <c r="G53" i="135" s="1"/>
  <c r="J87" i="151"/>
  <c r="J48" i="135"/>
  <c r="E87" i="151"/>
  <c r="K87" i="151"/>
  <c r="F87" i="151"/>
  <c r="D48" i="135"/>
  <c r="F91" i="152"/>
  <c r="E53" i="135" s="1"/>
  <c r="G8" i="139"/>
  <c r="I8" i="139" s="1"/>
  <c r="E48" i="135"/>
  <c r="H40" i="135"/>
  <c r="H46" i="135" s="1"/>
  <c r="H48" i="135" s="1"/>
  <c r="I87" i="151"/>
  <c r="K8" i="138"/>
  <c r="M8" i="138" s="1"/>
  <c r="T26" i="151"/>
  <c r="R26" i="151" s="1"/>
  <c r="E87" i="149"/>
  <c r="T85" i="151"/>
  <c r="F87" i="149"/>
  <c r="F34" i="135"/>
  <c r="F47" i="135" s="1"/>
  <c r="I34" i="135"/>
  <c r="I47" i="135" s="1"/>
  <c r="I48" i="135" s="1"/>
  <c r="D87" i="149"/>
  <c r="C48" i="135"/>
  <c r="I6" i="138"/>
  <c r="H71" i="135"/>
  <c r="E6" i="139"/>
  <c r="D6" i="139"/>
  <c r="J59" i="135"/>
  <c r="E8" i="139"/>
  <c r="D8" i="79"/>
  <c r="D5" i="79"/>
  <c r="H7" i="152"/>
  <c r="I91" i="152"/>
  <c r="I92" i="152" s="1"/>
  <c r="H10" i="135"/>
  <c r="E91" i="152"/>
  <c r="E92" i="152" s="1"/>
  <c r="F7" i="152"/>
  <c r="E8" i="79"/>
  <c r="J91" i="152"/>
  <c r="J7" i="152"/>
  <c r="G7" i="152"/>
  <c r="G91" i="152"/>
  <c r="K91" i="152"/>
  <c r="K7" i="152"/>
  <c r="P6" i="152"/>
  <c r="D7" i="139"/>
  <c r="H65" i="135"/>
  <c r="J4" i="135"/>
  <c r="E5" i="79"/>
  <c r="K62" i="146"/>
  <c r="P28" i="152"/>
  <c r="D31" i="152"/>
  <c r="P78" i="148"/>
  <c r="P71" i="152"/>
  <c r="D72" i="152"/>
  <c r="J87" i="113"/>
  <c r="J82" i="127"/>
  <c r="M42" i="117"/>
  <c r="R46" i="113"/>
  <c r="H88" i="117"/>
  <c r="D47" i="126"/>
  <c r="D47" i="117"/>
  <c r="O37" i="113"/>
  <c r="O37" i="127"/>
  <c r="E47" i="113"/>
  <c r="E47" i="127"/>
  <c r="K57" i="113"/>
  <c r="K57" i="127"/>
  <c r="K27" i="113"/>
  <c r="K27" i="127"/>
  <c r="F32" i="126"/>
  <c r="F32" i="117"/>
  <c r="I82" i="117"/>
  <c r="F82" i="126"/>
  <c r="L42" i="113"/>
  <c r="L42" i="127"/>
  <c r="H72" i="127"/>
  <c r="H77" i="113"/>
  <c r="K47" i="113"/>
  <c r="I42" i="113"/>
  <c r="I42" i="127"/>
  <c r="O42" i="127"/>
  <c r="O42" i="113"/>
  <c r="O31" i="117"/>
  <c r="O88" i="117"/>
  <c r="E72" i="113"/>
  <c r="R71" i="113"/>
  <c r="P71" i="113"/>
  <c r="P72" i="113" s="1"/>
  <c r="T71" i="113"/>
  <c r="M87" i="113"/>
  <c r="E72" i="127"/>
  <c r="T76" i="113"/>
  <c r="R76" i="113"/>
  <c r="E77" i="113"/>
  <c r="P76" i="113"/>
  <c r="G47" i="126"/>
  <c r="G47" i="117"/>
  <c r="G91" i="117"/>
  <c r="K72" i="127"/>
  <c r="K77" i="113"/>
  <c r="N82" i="127"/>
  <c r="N87" i="113"/>
  <c r="P27" i="113"/>
  <c r="P27" i="127"/>
  <c r="F82" i="127"/>
  <c r="F87" i="113"/>
  <c r="F41" i="117"/>
  <c r="F88" i="117"/>
  <c r="P38" i="117"/>
  <c r="P41" i="117" s="1"/>
  <c r="M72" i="127"/>
  <c r="M77" i="113"/>
  <c r="P46" i="113"/>
  <c r="P32" i="113"/>
  <c r="P33" i="117"/>
  <c r="P36" i="117" s="1"/>
  <c r="N36" i="117"/>
  <c r="D57" i="127"/>
  <c r="D57" i="113"/>
  <c r="T56" i="113"/>
  <c r="P56" i="113"/>
  <c r="R56" i="113"/>
  <c r="E87" i="113"/>
  <c r="E82" i="127"/>
  <c r="E82" i="126"/>
  <c r="E82" i="117"/>
  <c r="N82" i="117"/>
  <c r="N82" i="126"/>
  <c r="L57" i="113"/>
  <c r="L57" i="127"/>
  <c r="G88" i="117"/>
  <c r="T88" i="126" s="1"/>
  <c r="R41" i="113"/>
  <c r="D42" i="127"/>
  <c r="P41" i="113"/>
  <c r="T41" i="113"/>
  <c r="D42" i="113"/>
  <c r="H93" i="127"/>
  <c r="H86" i="113"/>
  <c r="I41" i="117"/>
  <c r="I88" i="117"/>
  <c r="M82" i="126"/>
  <c r="M82" i="117"/>
  <c r="J32" i="126"/>
  <c r="J32" i="117"/>
  <c r="J91" i="117"/>
  <c r="H92" i="117"/>
  <c r="H92" i="126"/>
  <c r="P43" i="117"/>
  <c r="P46" i="117" s="1"/>
  <c r="N88" i="117"/>
  <c r="K87" i="113"/>
  <c r="G87" i="113"/>
  <c r="G82" i="127"/>
  <c r="D66" i="117"/>
  <c r="D88" i="117"/>
  <c r="P63" i="117"/>
  <c r="P66" i="117" s="1"/>
  <c r="E27" i="113"/>
  <c r="E27" i="127"/>
  <c r="H42" i="126"/>
  <c r="H42" i="117"/>
  <c r="N77" i="113"/>
  <c r="N72" i="127"/>
  <c r="L88" i="117"/>
  <c r="L66" i="117"/>
  <c r="N37" i="113"/>
  <c r="P36" i="113"/>
  <c r="N37" i="127"/>
  <c r="D81" i="117"/>
  <c r="P78" i="117"/>
  <c r="P81" i="117" s="1"/>
  <c r="K46" i="117"/>
  <c r="R46" i="117" s="1"/>
  <c r="K88" i="117"/>
  <c r="I93" i="113"/>
  <c r="T83" i="113"/>
  <c r="D86" i="113"/>
  <c r="H47" i="126"/>
  <c r="H47" i="117"/>
  <c r="I87" i="113"/>
  <c r="O42" i="126"/>
  <c r="O42" i="117"/>
  <c r="O27" i="113"/>
  <c r="O27" i="127"/>
  <c r="M88" i="117"/>
  <c r="M31" i="117"/>
  <c r="P83" i="113"/>
  <c r="E31" i="117"/>
  <c r="P28" i="117"/>
  <c r="E88" i="117"/>
  <c r="G47" i="127"/>
  <c r="G47" i="113"/>
  <c r="K82" i="117"/>
  <c r="K82" i="126"/>
  <c r="L82" i="127"/>
  <c r="L87" i="113"/>
  <c r="R26" i="113"/>
  <c r="T83" i="151"/>
  <c r="K6" i="138"/>
  <c r="V83" i="149"/>
  <c r="P86" i="151"/>
  <c r="K10" i="138"/>
  <c r="P12" i="148"/>
  <c r="D37" i="147"/>
  <c r="P35" i="147"/>
  <c r="D81" i="152"/>
  <c r="P78" i="152"/>
  <c r="T76" i="151"/>
  <c r="R76" i="151" s="1"/>
  <c r="P77" i="149"/>
  <c r="T77" i="151" s="1"/>
  <c r="L82" i="148"/>
  <c r="K10" i="135"/>
  <c r="D81" i="148"/>
  <c r="I9" i="79"/>
  <c r="G8" i="79"/>
  <c r="M82" i="148"/>
  <c r="L10" i="135"/>
  <c r="J10" i="135"/>
  <c r="K87" i="148"/>
  <c r="K88" i="148" s="1"/>
  <c r="K82" i="148"/>
  <c r="N10" i="135"/>
  <c r="O82" i="148"/>
  <c r="P26" i="152"/>
  <c r="D27" i="152"/>
  <c r="I10" i="135" l="1"/>
  <c r="F62" i="146"/>
  <c r="K7" i="139"/>
  <c r="K11" i="79"/>
  <c r="M11" i="79" s="1"/>
  <c r="K9" i="79"/>
  <c r="M9" i="79" s="1"/>
  <c r="P81" i="148"/>
  <c r="P82" i="148" s="1"/>
  <c r="K67" i="146"/>
  <c r="K68" i="146" s="1"/>
  <c r="J62" i="146"/>
  <c r="G4" i="135"/>
  <c r="D4" i="135"/>
  <c r="T66" i="145"/>
  <c r="P67" i="145"/>
  <c r="L7" i="138"/>
  <c r="L5" i="138" s="1"/>
  <c r="S11" i="145"/>
  <c r="P57" i="126"/>
  <c r="S56" i="126"/>
  <c r="E82" i="148"/>
  <c r="J87" i="144"/>
  <c r="P62" i="126"/>
  <c r="L31" i="145"/>
  <c r="L89" i="145"/>
  <c r="K66" i="135" s="1"/>
  <c r="H5" i="138"/>
  <c r="H13" i="138" s="1"/>
  <c r="M92" i="152"/>
  <c r="L54" i="135"/>
  <c r="P52" i="145"/>
  <c r="S51" i="145"/>
  <c r="G66" i="135"/>
  <c r="G92" i="145"/>
  <c r="R62" i="140"/>
  <c r="J67" i="145"/>
  <c r="J91" i="145"/>
  <c r="I54" i="135" s="1"/>
  <c r="J67" i="152"/>
  <c r="H32" i="145"/>
  <c r="H91" i="145"/>
  <c r="G54" i="135" s="1"/>
  <c r="S66" i="145"/>
  <c r="M11" i="138"/>
  <c r="P90" i="152"/>
  <c r="P67" i="152"/>
  <c r="K7" i="138"/>
  <c r="T84" i="151"/>
  <c r="P88" i="152"/>
  <c r="S86" i="152"/>
  <c r="P86" i="149"/>
  <c r="V86" i="149" s="1"/>
  <c r="T16" i="151"/>
  <c r="R16" i="151" s="1"/>
  <c r="F10" i="135"/>
  <c r="H82" i="148"/>
  <c r="P61" i="146"/>
  <c r="S9" i="146" s="1"/>
  <c r="O42" i="128"/>
  <c r="R41" i="128"/>
  <c r="O38" i="141"/>
  <c r="P62" i="129"/>
  <c r="U61" i="129"/>
  <c r="I42" i="142"/>
  <c r="P7" i="117"/>
  <c r="P7" i="126"/>
  <c r="O28" i="127"/>
  <c r="M31" i="127"/>
  <c r="N60" i="135"/>
  <c r="P88" i="145"/>
  <c r="J46" i="126"/>
  <c r="S51" i="142"/>
  <c r="P62" i="127"/>
  <c r="P62" i="113"/>
  <c r="P22" i="127"/>
  <c r="P22" i="113"/>
  <c r="O32" i="152"/>
  <c r="O91" i="145"/>
  <c r="O32" i="145"/>
  <c r="P31" i="143"/>
  <c r="P32" i="143" s="1"/>
  <c r="P84" i="143"/>
  <c r="P86" i="143" s="1"/>
  <c r="K46" i="127"/>
  <c r="K43" i="126"/>
  <c r="K46" i="126" s="1"/>
  <c r="K47" i="145" s="1"/>
  <c r="T41" i="145"/>
  <c r="H4" i="135"/>
  <c r="U90" i="126"/>
  <c r="J32" i="142"/>
  <c r="J32" i="127"/>
  <c r="N72" i="135"/>
  <c r="P90" i="145"/>
  <c r="E7" i="126"/>
  <c r="E7" i="117"/>
  <c r="R6" i="117"/>
  <c r="S6" i="126" s="1"/>
  <c r="P67" i="127"/>
  <c r="P67" i="113"/>
  <c r="O43" i="127"/>
  <c r="M43" i="126"/>
  <c r="M46" i="126" s="1"/>
  <c r="M46" i="127"/>
  <c r="P86" i="124"/>
  <c r="P93" i="124" s="1"/>
  <c r="V83" i="124"/>
  <c r="P91" i="108"/>
  <c r="D92" i="145"/>
  <c r="S11" i="142"/>
  <c r="N32" i="149"/>
  <c r="N32" i="143"/>
  <c r="I41" i="126"/>
  <c r="I88" i="126"/>
  <c r="J47" i="127"/>
  <c r="J47" i="142"/>
  <c r="P62" i="140"/>
  <c r="M35" i="135"/>
  <c r="N87" i="143"/>
  <c r="P77" i="127"/>
  <c r="P82" i="113"/>
  <c r="P72" i="117"/>
  <c r="P72" i="126"/>
  <c r="C4" i="135"/>
  <c r="D102" i="146"/>
  <c r="D104" i="146" s="1"/>
  <c r="P38" i="141"/>
  <c r="P64" i="111"/>
  <c r="P62" i="111"/>
  <c r="H87" i="124"/>
  <c r="T87" i="125" s="1"/>
  <c r="R86" i="124"/>
  <c r="T86" i="125"/>
  <c r="H87" i="143"/>
  <c r="P77" i="126"/>
  <c r="P22" i="126"/>
  <c r="N89" i="145"/>
  <c r="H7" i="139" s="1"/>
  <c r="I7" i="139" s="1"/>
  <c r="N31" i="145"/>
  <c r="N32" i="152" s="1"/>
  <c r="P29" i="145"/>
  <c r="K41" i="127"/>
  <c r="K38" i="126"/>
  <c r="K35" i="135"/>
  <c r="L87" i="143"/>
  <c r="P86" i="125"/>
  <c r="E63" i="146"/>
  <c r="F63" i="146" s="1"/>
  <c r="F64" i="146" s="1"/>
  <c r="J77" i="117"/>
  <c r="J77" i="126"/>
  <c r="R76" i="117"/>
  <c r="S76" i="126" s="1"/>
  <c r="S21" i="145"/>
  <c r="P22" i="145"/>
  <c r="G82" i="142"/>
  <c r="F87" i="127"/>
  <c r="P86" i="144"/>
  <c r="D95" i="144" s="1"/>
  <c r="I81" i="127"/>
  <c r="P86" i="117"/>
  <c r="K53" i="135"/>
  <c r="K86" i="127"/>
  <c r="K31" i="127"/>
  <c r="K78" i="127"/>
  <c r="K81" i="127" s="1"/>
  <c r="P76" i="152"/>
  <c r="S76" i="152" s="1"/>
  <c r="T6" i="127"/>
  <c r="P7" i="127"/>
  <c r="P7" i="113"/>
  <c r="U89" i="126"/>
  <c r="P27" i="117"/>
  <c r="R21" i="117"/>
  <c r="S21" i="126" s="1"/>
  <c r="D22" i="117"/>
  <c r="P17" i="127"/>
  <c r="P17" i="113"/>
  <c r="M38" i="127"/>
  <c r="P38" i="127" s="1"/>
  <c r="P41" i="127" s="1"/>
  <c r="P42" i="127" s="1"/>
  <c r="I87" i="125"/>
  <c r="I87" i="144"/>
  <c r="G12" i="79"/>
  <c r="I5" i="79"/>
  <c r="N5" i="79"/>
  <c r="G13" i="138"/>
  <c r="P46" i="152"/>
  <c r="S46" i="152" s="1"/>
  <c r="S51" i="152"/>
  <c r="P62" i="152"/>
  <c r="D42" i="152"/>
  <c r="S36" i="152"/>
  <c r="P37" i="152"/>
  <c r="H92" i="152"/>
  <c r="P22" i="152"/>
  <c r="S21" i="152"/>
  <c r="S11" i="152"/>
  <c r="C59" i="135"/>
  <c r="D91" i="152"/>
  <c r="D92" i="152" s="1"/>
  <c r="F48" i="135"/>
  <c r="S56" i="152"/>
  <c r="F92" i="152"/>
  <c r="H53" i="135"/>
  <c r="D5" i="139"/>
  <c r="D53" i="135"/>
  <c r="P7" i="152"/>
  <c r="S6" i="152"/>
  <c r="G92" i="152"/>
  <c r="F53" i="135"/>
  <c r="J53" i="135"/>
  <c r="K92" i="152"/>
  <c r="G5" i="139"/>
  <c r="I53" i="135"/>
  <c r="J92" i="152"/>
  <c r="E5" i="139"/>
  <c r="S71" i="152"/>
  <c r="P72" i="152"/>
  <c r="D32" i="152"/>
  <c r="P31" i="152"/>
  <c r="P82" i="117"/>
  <c r="P82" i="126"/>
  <c r="J92" i="117"/>
  <c r="P57" i="127"/>
  <c r="P57" i="113"/>
  <c r="N37" i="126"/>
  <c r="N37" i="117"/>
  <c r="N91" i="117"/>
  <c r="P47" i="113"/>
  <c r="M32" i="117"/>
  <c r="M32" i="126"/>
  <c r="M91" i="117"/>
  <c r="S78" i="142"/>
  <c r="D82" i="117"/>
  <c r="D82" i="126"/>
  <c r="R81" i="117"/>
  <c r="S81" i="126" s="1"/>
  <c r="L67" i="117"/>
  <c r="L67" i="126"/>
  <c r="L91" i="117"/>
  <c r="P67" i="117"/>
  <c r="P67" i="126"/>
  <c r="P47" i="117"/>
  <c r="P37" i="117"/>
  <c r="P37" i="126"/>
  <c r="F42" i="126"/>
  <c r="F42" i="117"/>
  <c r="F91" i="117"/>
  <c r="R41" i="117"/>
  <c r="P31" i="117"/>
  <c r="P88" i="117"/>
  <c r="S88" i="117"/>
  <c r="I42" i="126"/>
  <c r="I42" i="117"/>
  <c r="I91" i="117"/>
  <c r="P77" i="113"/>
  <c r="P72" i="127"/>
  <c r="O91" i="117"/>
  <c r="O32" i="126"/>
  <c r="O32" i="117"/>
  <c r="R31" i="117"/>
  <c r="S31" i="126" s="1"/>
  <c r="E32" i="126"/>
  <c r="E91" i="117"/>
  <c r="E32" i="117"/>
  <c r="D87" i="113"/>
  <c r="T86" i="113"/>
  <c r="R86" i="113"/>
  <c r="D82" i="127"/>
  <c r="P86" i="113"/>
  <c r="I96" i="113"/>
  <c r="K47" i="117"/>
  <c r="K91" i="117"/>
  <c r="P37" i="113"/>
  <c r="P37" i="127"/>
  <c r="D67" i="126"/>
  <c r="D67" i="117"/>
  <c r="R66" i="117"/>
  <c r="S66" i="126" s="1"/>
  <c r="D91" i="117"/>
  <c r="H87" i="113"/>
  <c r="H82" i="127"/>
  <c r="H96" i="127"/>
  <c r="P42" i="113"/>
  <c r="P42" i="117"/>
  <c r="G92" i="126"/>
  <c r="T91" i="126"/>
  <c r="G92" i="117"/>
  <c r="P37" i="147"/>
  <c r="D38" i="147"/>
  <c r="M6" i="138"/>
  <c r="S26" i="152"/>
  <c r="P27" i="152"/>
  <c r="I8" i="79"/>
  <c r="G13" i="79"/>
  <c r="E83" i="148"/>
  <c r="F83" i="148" s="1"/>
  <c r="F84" i="148" s="1"/>
  <c r="D82" i="148"/>
  <c r="C10" i="135"/>
  <c r="D126" i="148"/>
  <c r="P81" i="152"/>
  <c r="S81" i="152" s="1"/>
  <c r="D82" i="152"/>
  <c r="K9" i="138"/>
  <c r="O10" i="138" s="1"/>
  <c r="M10" i="138"/>
  <c r="S41" i="152"/>
  <c r="P42" i="152"/>
  <c r="P87" i="151"/>
  <c r="S51" i="148" l="1"/>
  <c r="K8" i="79"/>
  <c r="N8" i="79" s="1"/>
  <c r="S11" i="148"/>
  <c r="R79" i="148"/>
  <c r="K8" i="139"/>
  <c r="M8" i="139" s="1"/>
  <c r="R78" i="148"/>
  <c r="R80" i="148"/>
  <c r="S88" i="152"/>
  <c r="M7" i="138"/>
  <c r="L13" i="138"/>
  <c r="I13" i="138"/>
  <c r="L7" i="139"/>
  <c r="M7" i="139" s="1"/>
  <c r="L32" i="145"/>
  <c r="L91" i="145"/>
  <c r="L32" i="152"/>
  <c r="I5" i="138"/>
  <c r="K47" i="126"/>
  <c r="H92" i="145"/>
  <c r="P91" i="152"/>
  <c r="U89" i="152" s="1"/>
  <c r="K5" i="138"/>
  <c r="O6" i="138" s="1"/>
  <c r="K6" i="139"/>
  <c r="M6" i="139" s="1"/>
  <c r="I97" i="149"/>
  <c r="I98" i="149" s="1"/>
  <c r="T86" i="151"/>
  <c r="R86" i="151" s="1"/>
  <c r="P87" i="149"/>
  <c r="T87" i="151" s="1"/>
  <c r="K5" i="79"/>
  <c r="M5" i="79" s="1"/>
  <c r="E102" i="146"/>
  <c r="E104" i="146" s="1"/>
  <c r="P62" i="146"/>
  <c r="I91" i="126"/>
  <c r="I92" i="126" s="1"/>
  <c r="I42" i="145"/>
  <c r="D94" i="144"/>
  <c r="R86" i="144"/>
  <c r="D96" i="144"/>
  <c r="P87" i="144"/>
  <c r="K41" i="126"/>
  <c r="K88" i="126"/>
  <c r="P96" i="124"/>
  <c r="V86" i="124"/>
  <c r="P95" i="124"/>
  <c r="P87" i="124"/>
  <c r="P94" i="124"/>
  <c r="S92" i="124"/>
  <c r="K47" i="142"/>
  <c r="K47" i="127"/>
  <c r="M41" i="127"/>
  <c r="S41" i="127" s="1"/>
  <c r="R42" i="142" s="1"/>
  <c r="M38" i="126"/>
  <c r="R38" i="127"/>
  <c r="K42" i="142"/>
  <c r="K42" i="127"/>
  <c r="M47" i="142"/>
  <c r="M47" i="127"/>
  <c r="U90" i="145"/>
  <c r="P87" i="143"/>
  <c r="P91" i="143"/>
  <c r="M78" i="127"/>
  <c r="M81" i="127" s="1"/>
  <c r="M47" i="145"/>
  <c r="M47" i="126"/>
  <c r="M32" i="142"/>
  <c r="M32" i="127"/>
  <c r="P87" i="117"/>
  <c r="P87" i="126"/>
  <c r="P87" i="125"/>
  <c r="R86" i="125"/>
  <c r="T94" i="125" s="1"/>
  <c r="D95" i="125"/>
  <c r="D96" i="125"/>
  <c r="N32" i="145"/>
  <c r="N91" i="145"/>
  <c r="P31" i="145"/>
  <c r="O46" i="127"/>
  <c r="O43" i="126"/>
  <c r="P43" i="127"/>
  <c r="P46" i="127" s="1"/>
  <c r="P47" i="127" s="1"/>
  <c r="O78" i="127"/>
  <c r="O81" i="127" s="1"/>
  <c r="O31" i="127"/>
  <c r="S31" i="127" s="1"/>
  <c r="R32" i="142" s="1"/>
  <c r="O86" i="127"/>
  <c r="R28" i="127"/>
  <c r="P28" i="127"/>
  <c r="P77" i="152"/>
  <c r="D94" i="125"/>
  <c r="M66" i="135"/>
  <c r="P89" i="145"/>
  <c r="R31" i="127"/>
  <c r="P32" i="142" s="1"/>
  <c r="N54" i="135"/>
  <c r="O92" i="152"/>
  <c r="M86" i="127"/>
  <c r="K82" i="142"/>
  <c r="K82" i="127"/>
  <c r="K32" i="142"/>
  <c r="K32" i="127"/>
  <c r="I82" i="142"/>
  <c r="I82" i="127"/>
  <c r="P38" i="126"/>
  <c r="P41" i="126" s="1"/>
  <c r="R43" i="127"/>
  <c r="J47" i="145"/>
  <c r="J47" i="126"/>
  <c r="J91" i="126"/>
  <c r="P47" i="152"/>
  <c r="C53" i="135"/>
  <c r="P32" i="152"/>
  <c r="S31" i="152"/>
  <c r="P87" i="113"/>
  <c r="R91" i="117"/>
  <c r="D92" i="117"/>
  <c r="D92" i="126"/>
  <c r="S91" i="117"/>
  <c r="E92" i="126"/>
  <c r="E92" i="117"/>
  <c r="I92" i="117"/>
  <c r="L92" i="117"/>
  <c r="L92" i="126"/>
  <c r="M92" i="117"/>
  <c r="K92" i="117"/>
  <c r="U88" i="145"/>
  <c r="F92" i="117"/>
  <c r="F92" i="126"/>
  <c r="S81" i="142"/>
  <c r="O92" i="117"/>
  <c r="P32" i="126"/>
  <c r="P91" i="117"/>
  <c r="P32" i="117"/>
  <c r="N92" i="126"/>
  <c r="N92" i="117"/>
  <c r="O12" i="138"/>
  <c r="O11" i="138"/>
  <c r="M9" i="138"/>
  <c r="P82" i="152"/>
  <c r="D128" i="148"/>
  <c r="E126" i="148"/>
  <c r="P38" i="147"/>
  <c r="R9" i="147"/>
  <c r="N10" i="79" l="1"/>
  <c r="N11" i="79"/>
  <c r="N9" i="79"/>
  <c r="M8" i="79"/>
  <c r="U88" i="152"/>
  <c r="U90" i="152"/>
  <c r="K54" i="135"/>
  <c r="L92" i="152"/>
  <c r="L92" i="145"/>
  <c r="P92" i="152"/>
  <c r="R81" i="127"/>
  <c r="U51" i="127" s="1"/>
  <c r="L5" i="139"/>
  <c r="P5" i="138" s="1"/>
  <c r="N92" i="152"/>
  <c r="H5" i="139"/>
  <c r="I5" i="139" s="1"/>
  <c r="S91" i="152"/>
  <c r="K5" i="139"/>
  <c r="K13" i="138"/>
  <c r="M13" i="138" s="1"/>
  <c r="O7" i="138"/>
  <c r="O8" i="138"/>
  <c r="M5" i="138"/>
  <c r="K9" i="139"/>
  <c r="N8" i="139" s="1"/>
  <c r="F102" i="146"/>
  <c r="F104" i="146" s="1"/>
  <c r="U11" i="127"/>
  <c r="J92" i="145"/>
  <c r="J92" i="126"/>
  <c r="P78" i="127"/>
  <c r="K91" i="126"/>
  <c r="K42" i="126"/>
  <c r="K42" i="145"/>
  <c r="O46" i="126"/>
  <c r="O88" i="126"/>
  <c r="P43" i="126"/>
  <c r="P46" i="126" s="1"/>
  <c r="O47" i="142"/>
  <c r="O47" i="127"/>
  <c r="R46" i="127"/>
  <c r="P47" i="142" s="1"/>
  <c r="S46" i="127"/>
  <c r="R47" i="142" s="1"/>
  <c r="I92" i="145"/>
  <c r="P31" i="127"/>
  <c r="P32" i="127" s="1"/>
  <c r="P86" i="127"/>
  <c r="P88" i="126"/>
  <c r="M54" i="135"/>
  <c r="N92" i="145"/>
  <c r="S31" i="145"/>
  <c r="P32" i="145"/>
  <c r="T31" i="145"/>
  <c r="P91" i="145"/>
  <c r="T89" i="145" s="1"/>
  <c r="P91" i="126"/>
  <c r="P42" i="126"/>
  <c r="R78" i="127"/>
  <c r="U89" i="145"/>
  <c r="M41" i="126"/>
  <c r="R41" i="126" s="1"/>
  <c r="M88" i="126"/>
  <c r="R88" i="126" s="1"/>
  <c r="S88" i="145" s="1"/>
  <c r="S41" i="126"/>
  <c r="O82" i="127"/>
  <c r="O82" i="142"/>
  <c r="M82" i="142"/>
  <c r="M82" i="127"/>
  <c r="T94" i="144"/>
  <c r="R90" i="144"/>
  <c r="P90" i="144" s="1"/>
  <c r="O32" i="142"/>
  <c r="O32" i="127"/>
  <c r="M42" i="142"/>
  <c r="M42" i="127"/>
  <c r="R41" i="127"/>
  <c r="P42" i="142" s="1"/>
  <c r="S81" i="127"/>
  <c r="R82" i="142" s="1"/>
  <c r="P92" i="117"/>
  <c r="F126" i="148"/>
  <c r="E128" i="148"/>
  <c r="P82" i="142" l="1"/>
  <c r="M5" i="139"/>
  <c r="O5" i="138"/>
  <c r="N6" i="139"/>
  <c r="N7" i="139"/>
  <c r="G102" i="146"/>
  <c r="H102" i="146" s="1"/>
  <c r="D103" i="126"/>
  <c r="D102" i="126"/>
  <c r="S46" i="126"/>
  <c r="P47" i="126"/>
  <c r="K92" i="145"/>
  <c r="K92" i="126"/>
  <c r="P81" i="127"/>
  <c r="U78" i="127"/>
  <c r="S91" i="126"/>
  <c r="U91" i="145"/>
  <c r="M91" i="126"/>
  <c r="M42" i="145"/>
  <c r="M42" i="126"/>
  <c r="P92" i="126"/>
  <c r="D101" i="126"/>
  <c r="U88" i="126"/>
  <c r="U91" i="126"/>
  <c r="O47" i="126"/>
  <c r="O47" i="145"/>
  <c r="O91" i="126"/>
  <c r="R46" i="126"/>
  <c r="T90" i="145"/>
  <c r="T88" i="145"/>
  <c r="P42" i="145"/>
  <c r="S41" i="145"/>
  <c r="G126" i="148"/>
  <c r="F128" i="148"/>
  <c r="G104" i="146" l="1"/>
  <c r="O92" i="126"/>
  <c r="O92" i="145"/>
  <c r="S46" i="145"/>
  <c r="P47" i="145"/>
  <c r="M92" i="145"/>
  <c r="M92" i="126"/>
  <c r="P82" i="127"/>
  <c r="U81" i="127"/>
  <c r="R91" i="126"/>
  <c r="H104" i="146"/>
  <c r="I102" i="146"/>
  <c r="H126" i="148"/>
  <c r="G128" i="148"/>
  <c r="P92" i="145" l="1"/>
  <c r="S91" i="145"/>
  <c r="H128" i="148"/>
  <c r="I126" i="148"/>
  <c r="I104" i="146"/>
  <c r="J102" i="146"/>
  <c r="J104" i="146" l="1"/>
  <c r="K102" i="146"/>
  <c r="K104" i="146" s="1"/>
  <c r="J126" i="148"/>
  <c r="I128" i="148"/>
  <c r="J128" i="148" l="1"/>
  <c r="K126" i="148"/>
  <c r="K128" i="1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Hernandez</author>
  </authors>
  <commentList>
    <comment ref="D23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Marcos Hernandez:</t>
        </r>
        <r>
          <rPr>
            <sz val="9"/>
            <color indexed="81"/>
            <rFont val="Tahoma"/>
            <family val="2"/>
          </rPr>
          <t xml:space="preserve">
Ene-Mar datos de ANDI</t>
        </r>
      </text>
    </comment>
    <comment ref="D24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Marcos Hernandez:</t>
        </r>
        <r>
          <rPr>
            <sz val="9"/>
            <color indexed="81"/>
            <rFont val="Tahoma"/>
            <family val="2"/>
          </rPr>
          <t xml:space="preserve">
Ene-Mar datos de ANDI</t>
        </r>
      </text>
    </comment>
    <comment ref="D25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Marcos Hernandez:</t>
        </r>
        <r>
          <rPr>
            <sz val="9"/>
            <color indexed="81"/>
            <rFont val="Tahoma"/>
            <family val="2"/>
          </rPr>
          <t xml:space="preserve">
Ene-Mar datos de ANDI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Hernandez</author>
  </authors>
  <commentList>
    <comment ref="D23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Marcos Hernandez:</t>
        </r>
        <r>
          <rPr>
            <sz val="9"/>
            <color indexed="81"/>
            <rFont val="Tahoma"/>
            <family val="2"/>
          </rPr>
          <t xml:space="preserve">
Ene-Mar datos de ANDI</t>
        </r>
      </text>
    </comment>
    <comment ref="D24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Marcos Hernandez:</t>
        </r>
        <r>
          <rPr>
            <sz val="9"/>
            <color indexed="81"/>
            <rFont val="Tahoma"/>
            <family val="2"/>
          </rPr>
          <t xml:space="preserve">
Ene-Mar datos de ANDI</t>
        </r>
      </text>
    </comment>
    <comment ref="D25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Marcos Hernandez:</t>
        </r>
        <r>
          <rPr>
            <sz val="9"/>
            <color indexed="81"/>
            <rFont val="Tahoma"/>
            <family val="2"/>
          </rPr>
          <t xml:space="preserve">
Ene-Mar datos de ANDI</t>
        </r>
      </text>
    </comment>
  </commentList>
</comments>
</file>

<file path=xl/sharedStrings.xml><?xml version="1.0" encoding="utf-8"?>
<sst xmlns="http://schemas.openxmlformats.org/spreadsheetml/2006/main" count="3686" uniqueCount="203">
  <si>
    <t>Argentina</t>
  </si>
  <si>
    <t>Chile</t>
  </si>
  <si>
    <t>Colombia</t>
  </si>
  <si>
    <t>Venezuela</t>
  </si>
  <si>
    <t>Ecuador</t>
  </si>
  <si>
    <t>Costa Rica</t>
  </si>
  <si>
    <t>Paraguay</t>
  </si>
  <si>
    <t>Uruguay</t>
  </si>
  <si>
    <t>Total</t>
  </si>
  <si>
    <t>Cuba</t>
  </si>
  <si>
    <t>El Salvador</t>
  </si>
  <si>
    <t>Guatemala</t>
  </si>
  <si>
    <t>Note: Bold figures are estimates, data is in thousand tons.</t>
  </si>
  <si>
    <r>
      <t xml:space="preserve">H.Eléctrico / </t>
    </r>
    <r>
      <rPr>
        <i/>
        <sz val="10"/>
        <rFont val="Arial"/>
        <family val="2"/>
      </rPr>
      <t>EAF</t>
    </r>
  </si>
  <si>
    <r>
      <t xml:space="preserve">BOF / </t>
    </r>
    <r>
      <rPr>
        <i/>
        <sz val="10"/>
        <rFont val="Arial"/>
        <family val="2"/>
      </rPr>
      <t>OBC</t>
    </r>
  </si>
  <si>
    <r>
      <t xml:space="preserve">Arrabio / </t>
    </r>
    <r>
      <rPr>
        <i/>
        <sz val="10"/>
        <rFont val="Arial"/>
        <family val="2"/>
      </rPr>
      <t>Pig Iron</t>
    </r>
  </si>
  <si>
    <r>
      <t xml:space="preserve">Hierro Esponja / </t>
    </r>
    <r>
      <rPr>
        <i/>
        <sz val="10"/>
        <rFont val="Arial"/>
        <family val="2"/>
      </rPr>
      <t>Sponge Iron</t>
    </r>
  </si>
  <si>
    <t/>
  </si>
  <si>
    <t>(*) A partir de enero de 2012 se incluyen los datos de INCA.-</t>
  </si>
  <si>
    <r>
      <t>Nota: Cifras en negrita son estimadas, cifras en miles de toneladas</t>
    </r>
    <r>
      <rPr>
        <b/>
        <sz val="10"/>
        <rFont val="Arial"/>
        <family val="2"/>
      </rPr>
      <t xml:space="preserve"> </t>
    </r>
  </si>
  <si>
    <r>
      <t xml:space="preserve">México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Mexico</t>
    </r>
  </si>
  <si>
    <r>
      <t xml:space="preserve">Perú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Peru</t>
    </r>
  </si>
  <si>
    <r>
      <t>Abril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April</t>
    </r>
  </si>
  <si>
    <r>
      <t>Producto</t>
    </r>
    <r>
      <rPr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Product</t>
    </r>
  </si>
  <si>
    <r>
      <t xml:space="preserve">Octubre
</t>
    </r>
    <r>
      <rPr>
        <i/>
        <sz val="10"/>
        <rFont val="Arial"/>
        <family val="2"/>
      </rPr>
      <t>October</t>
    </r>
  </si>
  <si>
    <r>
      <t>Acumulado</t>
    </r>
    <r>
      <rPr>
        <b/>
        <i/>
        <sz val="10"/>
        <rFont val="Arial"/>
        <family val="2"/>
      </rPr>
      <t xml:space="preserve">
</t>
    </r>
    <r>
      <rPr>
        <i/>
        <sz val="10"/>
        <rFont val="Arial"/>
        <family val="2"/>
      </rPr>
      <t>Accumulated</t>
    </r>
  </si>
  <si>
    <r>
      <t xml:space="preserve">Marzo
</t>
    </r>
    <r>
      <rPr>
        <i/>
        <sz val="10"/>
        <rFont val="Arial"/>
        <family val="2"/>
      </rPr>
      <t>March</t>
    </r>
  </si>
  <si>
    <r>
      <t>Enero</t>
    </r>
    <r>
      <rPr>
        <b/>
        <i/>
        <sz val="10"/>
        <rFont val="Arial"/>
        <family val="2"/>
      </rPr>
      <t xml:space="preserve">
</t>
    </r>
    <r>
      <rPr>
        <i/>
        <sz val="10"/>
        <rFont val="Arial"/>
        <family val="2"/>
      </rPr>
      <t>January</t>
    </r>
  </si>
  <si>
    <r>
      <t xml:space="preserve">Febrero
</t>
    </r>
    <r>
      <rPr>
        <i/>
        <sz val="10"/>
        <rFont val="Arial"/>
        <family val="2"/>
      </rPr>
      <t>February</t>
    </r>
  </si>
  <si>
    <r>
      <t>Mayo</t>
    </r>
    <r>
      <rPr>
        <b/>
        <i/>
        <sz val="10"/>
        <rFont val="Arial"/>
        <family val="2"/>
      </rPr>
      <t xml:space="preserve">
</t>
    </r>
    <r>
      <rPr>
        <i/>
        <sz val="10"/>
        <rFont val="Arial"/>
        <family val="2"/>
      </rPr>
      <t>May</t>
    </r>
  </si>
  <si>
    <r>
      <t>Junio</t>
    </r>
    <r>
      <rPr>
        <b/>
        <i/>
        <sz val="10"/>
        <rFont val="Arial"/>
        <family val="2"/>
      </rPr>
      <t xml:space="preserve">
</t>
    </r>
    <r>
      <rPr>
        <i/>
        <sz val="10"/>
        <rFont val="Arial"/>
        <family val="2"/>
      </rPr>
      <t>June</t>
    </r>
  </si>
  <si>
    <r>
      <t xml:space="preserve">Julio
</t>
    </r>
    <r>
      <rPr>
        <i/>
        <sz val="10"/>
        <rFont val="Arial"/>
        <family val="2"/>
      </rPr>
      <t>July</t>
    </r>
  </si>
  <si>
    <r>
      <t xml:space="preserve">Agosto
</t>
    </r>
    <r>
      <rPr>
        <i/>
        <sz val="10"/>
        <rFont val="Arial"/>
        <family val="2"/>
      </rPr>
      <t>August</t>
    </r>
  </si>
  <si>
    <r>
      <t>Septiembre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September</t>
    </r>
  </si>
  <si>
    <r>
      <t>Noviembre</t>
    </r>
    <r>
      <rPr>
        <b/>
        <i/>
        <sz val="10"/>
        <rFont val="Arial"/>
        <family val="2"/>
      </rPr>
      <t xml:space="preserve">
</t>
    </r>
    <r>
      <rPr>
        <i/>
        <sz val="10"/>
        <rFont val="Arial"/>
        <family val="2"/>
      </rPr>
      <t>November</t>
    </r>
  </si>
  <si>
    <r>
      <t>Diciembre</t>
    </r>
    <r>
      <rPr>
        <b/>
        <i/>
        <sz val="10"/>
        <rFont val="Arial"/>
        <family val="2"/>
      </rPr>
      <t xml:space="preserve">
</t>
    </r>
    <r>
      <rPr>
        <i/>
        <sz val="10"/>
        <rFont val="Arial"/>
        <family val="2"/>
      </rPr>
      <t>December</t>
    </r>
  </si>
  <si>
    <r>
      <t xml:space="preserve">País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Country</t>
    </r>
  </si>
  <si>
    <r>
      <t xml:space="preserve">Brasil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Brazil</t>
    </r>
  </si>
  <si>
    <r>
      <t xml:space="preserve">Trinidad y Tobago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Trinidad &amp; Tobago</t>
    </r>
  </si>
  <si>
    <r>
      <t xml:space="preserve">América Latina 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 xml:space="preserve"> 
Latin America</t>
    </r>
  </si>
  <si>
    <t>Var.% 2014/2013</t>
  </si>
  <si>
    <t xml:space="preserve"> </t>
  </si>
  <si>
    <r>
      <t xml:space="preserve">Brasil / </t>
    </r>
    <r>
      <rPr>
        <i/>
        <sz val="10"/>
        <rFont val="Arial"/>
        <family val="2"/>
      </rPr>
      <t>Brazil</t>
    </r>
  </si>
  <si>
    <r>
      <t xml:space="preserve">México / </t>
    </r>
    <r>
      <rPr>
        <i/>
        <sz val="10"/>
        <rFont val="Arial"/>
        <family val="2"/>
      </rPr>
      <t>Mexico</t>
    </r>
  </si>
  <si>
    <r>
      <t xml:space="preserve">Perú / </t>
    </r>
    <r>
      <rPr>
        <i/>
        <sz val="10"/>
        <rFont val="Arial"/>
        <family val="2"/>
      </rPr>
      <t>Peru</t>
    </r>
  </si>
  <si>
    <t>»  Macroeconomía</t>
  </si>
  <si>
    <t>Argentina*</t>
  </si>
  <si>
    <t>Venezuela*</t>
  </si>
  <si>
    <t>Fuente: Consensus Economics</t>
  </si>
  <si>
    <t>Nota: estas cifras difieren de las presentadas en el informe del Short Range Outlook ya que tienen fuente privada (el SRO tiene fuente oficial)</t>
  </si>
  <si>
    <t>Producto Interno Bruto</t>
  </si>
  <si>
    <t>Inversión Bruta Fija</t>
  </si>
  <si>
    <t>Producción Industrial</t>
  </si>
  <si>
    <t>Precios al Consumidor</t>
  </si>
  <si>
    <t>Estadísticas Mensuales</t>
  </si>
  <si>
    <t>País</t>
  </si>
  <si>
    <t>Brasil</t>
  </si>
  <si>
    <t>México</t>
  </si>
  <si>
    <t>Perú*</t>
  </si>
  <si>
    <r>
      <t xml:space="preserve">Planos / </t>
    </r>
    <r>
      <rPr>
        <i/>
        <sz val="10"/>
        <rFont val="Arial"/>
        <family val="2"/>
      </rPr>
      <t>Flats</t>
    </r>
  </si>
  <si>
    <r>
      <t xml:space="preserve">Tubos Sin Costura / </t>
    </r>
    <r>
      <rPr>
        <i/>
        <sz val="10"/>
        <rFont val="Arial"/>
        <family val="2"/>
      </rPr>
      <t>Seamless Tubes</t>
    </r>
  </si>
  <si>
    <r>
      <t xml:space="preserve">América Latina / </t>
    </r>
    <r>
      <rPr>
        <i/>
        <sz val="10"/>
        <rFont val="Arial"/>
        <family val="2"/>
      </rPr>
      <t>Latin America</t>
    </r>
  </si>
  <si>
    <r>
      <t xml:space="preserve">Trinidad y Tobago / </t>
    </r>
    <r>
      <rPr>
        <i/>
        <sz val="10"/>
        <rFont val="Arial"/>
        <family val="2"/>
      </rPr>
      <t>Trinidad &amp; Tobago</t>
    </r>
  </si>
  <si>
    <r>
      <t xml:space="preserve">América Latina / </t>
    </r>
    <r>
      <rPr>
        <sz val="10"/>
        <rFont val="Arial"/>
        <family val="2"/>
      </rPr>
      <t>Latin America</t>
    </r>
  </si>
  <si>
    <r>
      <t>República Dominicana /</t>
    </r>
    <r>
      <rPr>
        <i/>
        <sz val="10"/>
        <rFont val="Arial"/>
        <family val="2"/>
      </rPr>
      <t xml:space="preserve"> Dominican Republic</t>
    </r>
  </si>
  <si>
    <r>
      <t xml:space="preserve">Largos / </t>
    </r>
    <r>
      <rPr>
        <i/>
        <sz val="10"/>
        <rFont val="Arial"/>
        <family val="2"/>
      </rPr>
      <t>Longs</t>
    </r>
  </si>
  <si>
    <t>* Precios al Consumidor, Indice de Buenos Aires en Argentina, Area Metropolitana de Lima para Perú, Area Metropolitana de Caracas para Venezuela</t>
  </si>
  <si>
    <t>Var.% 2015/2014</t>
  </si>
  <si>
    <t>»  Importaciones 2015</t>
  </si>
  <si>
    <t>»  Exportaciones 2015</t>
  </si>
  <si>
    <t>»  Consumos Aparente 2015</t>
  </si>
  <si>
    <t>Panamá</t>
  </si>
  <si>
    <t>Exportaciones de Laminados 2014</t>
  </si>
  <si>
    <t>Exportaciones de Laminados 2015</t>
  </si>
  <si>
    <t>Importaciones de Laminados 2015</t>
  </si>
  <si>
    <t>Consumo Aparente de Laminados 2014</t>
  </si>
  <si>
    <t>Consumo Aparente de Laminados 2015</t>
  </si>
  <si>
    <t>Bolivia</t>
  </si>
  <si>
    <t>Bolvia</t>
  </si>
  <si>
    <t>-</t>
  </si>
  <si>
    <t>Importaciones de Laminados 2016</t>
  </si>
  <si>
    <t>Var.% 2016/2015</t>
  </si>
  <si>
    <t>Exportaciones de Laminados 2016</t>
  </si>
  <si>
    <t>Consumo Aparente de Laminados 2016</t>
  </si>
  <si>
    <t>Producción Hierro Primario 2016</t>
  </si>
  <si>
    <t>Producción Acero Crudo 2016</t>
  </si>
  <si>
    <t>Honduras</t>
  </si>
  <si>
    <t>»  Producción Acero Crudo 2016</t>
  </si>
  <si>
    <t>»  Hierro Primario 2016</t>
  </si>
  <si>
    <t>»  Producción Laminados 2016</t>
  </si>
  <si>
    <t>»  Importaciones 2016</t>
  </si>
  <si>
    <t>»  Exportaciones 2016</t>
  </si>
  <si>
    <t>Brasil incluye los tubos sin costura en los productos largos/Brazil includes seamless tubes in long products</t>
  </si>
  <si>
    <t>deficit comercial</t>
  </si>
  <si>
    <t>Acumulado
Accumulated</t>
  </si>
  <si>
    <t>balanza</t>
  </si>
  <si>
    <t>acum ene-abril 2015</t>
  </si>
  <si>
    <t>acum ene-abr 2015</t>
  </si>
  <si>
    <t>Acum ene-may 2015</t>
  </si>
  <si>
    <t>acum ene-may 2015</t>
  </si>
  <si>
    <t>balanza ene-abr 2015</t>
  </si>
  <si>
    <t>Brasil / Brazil</t>
  </si>
  <si>
    <t>México / Mexico</t>
  </si>
  <si>
    <t>Perú / Peru</t>
  </si>
  <si>
    <t>República Dominicana / Dominican Republic</t>
  </si>
  <si>
    <t>América Latina / Latin America</t>
  </si>
  <si>
    <t>Impo</t>
  </si>
  <si>
    <t>Expo</t>
  </si>
  <si>
    <t>Saldo</t>
  </si>
  <si>
    <t>Ene</t>
  </si>
  <si>
    <t>Fuente: Estadísticas mensuales proporcionadas por las cámaras nacionales</t>
  </si>
  <si>
    <t>Índice</t>
  </si>
  <si>
    <t>»  Resumen Producción</t>
  </si>
  <si>
    <t>Producción Acero Crudo 2014</t>
  </si>
  <si>
    <t>Producción Acero Crudo 2015</t>
  </si>
  <si>
    <t>en miles de toneladas</t>
  </si>
  <si>
    <t>Acero Crudo</t>
  </si>
  <si>
    <t>H.Eléctrico / EAF</t>
  </si>
  <si>
    <t>BOF / OBC</t>
  </si>
  <si>
    <t>Acero Laminado</t>
  </si>
  <si>
    <t>Producción Acero Crudo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</si>
  <si>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</si>
  <si>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</si>
  <si>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</si>
  <si>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</si>
  <si>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</si>
  <si>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</si>
  <si>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</si>
  <si>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</si>
  <si>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</si>
  <si>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Producción Acero Laminado</t>
  </si>
  <si>
    <t>Producción Largos</t>
  </si>
  <si>
    <t>Producción Planos</t>
  </si>
  <si>
    <t>Producción Tubos sin Costura</t>
  </si>
  <si>
    <t>Producción Laminados 2016</t>
  </si>
  <si>
    <t>»  Resumen Comercio</t>
  </si>
  <si>
    <t>»  Resumen Consumo Aparente de Laminados</t>
  </si>
  <si>
    <t>Resumen: Comercio</t>
  </si>
  <si>
    <t xml:space="preserve">Resumen: Producción </t>
  </si>
  <si>
    <r>
      <t xml:space="preserve">Laminados / </t>
    </r>
    <r>
      <rPr>
        <i/>
        <sz val="10"/>
        <rFont val="Arial"/>
        <family val="2"/>
      </rPr>
      <t>Finished</t>
    </r>
  </si>
  <si>
    <t>Producción Laminados 2015</t>
  </si>
  <si>
    <t>Producción Laminados 2014</t>
  </si>
  <si>
    <t>Producción Hierro Primario 2015</t>
  </si>
  <si>
    <t>Producción Hierro Primario 2014</t>
  </si>
  <si>
    <t>Importaciones de Laminados 2014</t>
  </si>
  <si>
    <t>Largos / Longs</t>
  </si>
  <si>
    <t>Planos / Flats</t>
  </si>
  <si>
    <t>Importaciones</t>
  </si>
  <si>
    <t>Exportaciones</t>
  </si>
  <si>
    <t>Comercio Siderúrgico</t>
  </si>
  <si>
    <t>Consumo Aparente de Laminados</t>
  </si>
  <si>
    <t>Consumo Aparente: Largos</t>
  </si>
  <si>
    <t>Consumo Aparente: Planos</t>
  </si>
  <si>
    <t>Consumo Aparente: Tubos sin Costura</t>
  </si>
  <si>
    <t>Resumen: Consumo</t>
  </si>
  <si>
    <t>Consumo</t>
  </si>
  <si>
    <t>Var.% 2017/2016</t>
  </si>
  <si>
    <t>Producción Acero Crudo 2017</t>
  </si>
  <si>
    <t>Producción Hierro Primario 2017</t>
  </si>
  <si>
    <t>Producción Laminados 2017</t>
  </si>
  <si>
    <t>* Colombia no entrega cifras detalladas por proceso.</t>
  </si>
  <si>
    <t>Importaciones de Laminados 2017</t>
  </si>
  <si>
    <t>Exportaciones de Laminados 2017</t>
  </si>
  <si>
    <t>Consumo Aparente de Laminados 2017</t>
  </si>
  <si>
    <t>»  Producción Acero Crudo 2017</t>
  </si>
  <si>
    <t>»  Hierro Primario 2017</t>
  </si>
  <si>
    <t>»  Producción Laminados 2017</t>
  </si>
  <si>
    <t>»  Importaciones 2017</t>
  </si>
  <si>
    <t>»  Exportaciones 2017</t>
  </si>
  <si>
    <t>»  Consumo Aparente 2017</t>
  </si>
  <si>
    <t>»  Consumos Aparente 2016</t>
  </si>
  <si>
    <t>Trinidad y Tobago / Trinidad &amp; Tobago</t>
  </si>
  <si>
    <t>importaciones ene-ago 2016</t>
  </si>
  <si>
    <t>acum ene-ago 2015</t>
  </si>
  <si>
    <t>acum ene-nov 2016</t>
  </si>
  <si>
    <t>acum ene-nov 2017</t>
  </si>
  <si>
    <t>acum ene-dic 2016</t>
  </si>
  <si>
    <t>importaciones ene-nov 2017</t>
  </si>
  <si>
    <t>dif vs 2015 ene-oct 2015</t>
  </si>
  <si>
    <t>Var.% 2018/2017</t>
  </si>
  <si>
    <t>Exportaciones de Laminados 2018</t>
  </si>
  <si>
    <t>acum ene-ene 2017</t>
  </si>
  <si>
    <t>Producción Laminados 2018</t>
  </si>
  <si>
    <t>Importaciones de Laminados 2018</t>
  </si>
  <si>
    <t>Producción Acero Crudo 2018</t>
  </si>
  <si>
    <t>Balanza</t>
  </si>
  <si>
    <t>Producción Hierro Primario 2018</t>
  </si>
  <si>
    <t>Consumo Aparente de Laminados 2018</t>
  </si>
  <si>
    <t>Producción</t>
  </si>
  <si>
    <t>Comercio y Consumo</t>
  </si>
  <si>
    <t>Mes Reporte</t>
  </si>
  <si>
    <t>dif vs ene-dic 2016</t>
  </si>
  <si>
    <t>acum ene-dic 2017</t>
  </si>
  <si>
    <t>»  Producción Acero Crudo 2018</t>
  </si>
  <si>
    <t>»  Hierro Primario 2018</t>
  </si>
  <si>
    <t>»  Producción Laminados 2018</t>
  </si>
  <si>
    <t>Var.% 2018 vs 2017</t>
  </si>
  <si>
    <r>
      <t>Acumulado</t>
    </r>
    <r>
      <rPr>
        <b/>
        <i/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Accumulated</t>
    </r>
  </si>
  <si>
    <t>Dif acum vs 2017</t>
  </si>
  <si>
    <r>
      <t>Octubre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October</t>
    </r>
  </si>
  <si>
    <t>Proyecciones de Diciembre 2018</t>
  </si>
  <si>
    <t>Enero-Noviembre 2018</t>
  </si>
  <si>
    <t>Cifras al 21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</si>
</sst>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-* #,##0.0_-;\-* #,##0.0_-;_-* &quot;-&quot;??_-;_-@_-"/>
    <numFmt numFmtId="167" formatCode="_-* #,##0_-;\-* #,##0_-;_-* &quot;-&quot;??_-;_-@_-"/>
    <numFmt numFmtId="168" formatCode="_-* #,##0.0_-;\-* #,##0.0_-;_-* &quot;-&quot;?_-;_-@_-"/>
    <numFmt numFmtId="169" formatCode="0.0%"/>
    <numFmt numFmtId="170" formatCode="_(* #,##0.00_);_(* \(#,##0.00\);_(* &quot;-&quot;??_);_(@_)"/>
    <numFmt numFmtId="171" formatCode="_-* #,##0.00\ _$_-;\-* #,##0.00\ _$_-;_-* &quot;-&quot;??\ _$_-;_-@_-"/>
    <numFmt numFmtId="172" formatCode="_-* #,##0\ &quot;$&quot;_-;\-* #,##0\ &quot;$&quot;_-;_-* &quot;-&quot;\ &quot;$&quot;_-;_-@_-"/>
    <numFmt numFmtId="173" formatCode="&quot;Bs&quot;\ #,##0_);[Red]\(&quot;Bs&quot;\ #,##0\)"/>
    <numFmt numFmtId="174" formatCode="#,##0.0_);[Red]\(#,##0.0\)"/>
    <numFmt numFmtId="175" formatCode="_([$€]* #,##0.00_);_([$€]* \(#,##0.00\);_([$€]* &quot;-&quot;??_);_(@_)"/>
    <numFmt numFmtId="176" formatCode="#,##0.0_);\(#,##0.0\)"/>
    <numFmt numFmtId="177" formatCode="#,##0.000_);\(#,##0.000\)"/>
    <numFmt numFmtId="178" formatCode="\$#,##0\ ;\(\$#,##0\)"/>
    <numFmt numFmtId="179" formatCode="#.##000"/>
    <numFmt numFmtId="180" formatCode="\$#,#00"/>
    <numFmt numFmtId="181" formatCode="&quot;$&quot;#,##0;[Red]\-&quot;$&quot;#,##0"/>
    <numFmt numFmtId="182" formatCode="&quot;$&quot;#,##0.00;[Red]\-&quot;$&quot;#,##0.00"/>
    <numFmt numFmtId="183" formatCode="0.00_)"/>
    <numFmt numFmtId="184" formatCode="0.000000%"/>
    <numFmt numFmtId="185" formatCode="0.0%;\(0.0%\)"/>
    <numFmt numFmtId="186" formatCode="&quot;SFr.&quot;#,##0.00;&quot;SFr.&quot;\-#,##0.00"/>
    <numFmt numFmtId="187" formatCode="&quot;SFr.&quot;#,##0.00;[Red]&quot;SFr.&quot;\-#,##0.00"/>
    <numFmt numFmtId="188" formatCode="_ &quot;SFr.&quot;* #,##0_ ;_ &quot;SFr.&quot;* \-#,##0_ ;_ &quot;SFr.&quot;* &quot;-&quot;_ ;_ @_ "/>
    <numFmt numFmtId="189" formatCode="0.0"/>
    <numFmt numFmtId="190" formatCode="0.000%"/>
    <numFmt numFmtId="191" formatCode="_-* #,##0.0\ _€_-;\-* #,##0.0\ _€_-;_-* &quot;-&quot;?\ _€_-;_-@_-"/>
    <numFmt numFmtId="192" formatCode="_-* #,##0_-;\-* #,##0_-;_-* &quot;-&quot;?_-;_-@_-"/>
    <numFmt numFmtId="193" formatCode="0.0000%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Arial"/>
      <family val="2"/>
    </font>
    <font>
      <sz val="10"/>
      <name val="Verdan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Verdana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2"/>
      <name val="Helv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7.5"/>
      <color indexed="12"/>
      <name val="Arial"/>
      <family val="2"/>
    </font>
    <font>
      <shadow/>
      <sz val="8"/>
      <color indexed="12"/>
      <name val="Times New Roman"/>
      <family val="1"/>
    </font>
    <font>
      <b/>
      <i/>
      <sz val="16"/>
      <name val="Helv"/>
    </font>
    <font>
      <b/>
      <sz val="12"/>
      <name val="Univers (WN)"/>
    </font>
    <font>
      <sz val="10"/>
      <name val="Univers (E1)"/>
    </font>
    <font>
      <sz val="10"/>
      <name val="MS Sans Serif"/>
      <family val="2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0"/>
      <color indexed="9"/>
      <name val="Georgia"/>
      <family val="1"/>
    </font>
    <font>
      <sz val="16"/>
      <color indexed="25"/>
      <name val="Georgia"/>
      <family val="1"/>
    </font>
    <font>
      <sz val="10"/>
      <color indexed="9"/>
      <name val="Arial"/>
      <family val="2"/>
    </font>
    <font>
      <sz val="26"/>
      <color indexed="25"/>
      <name val="Georgia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0"/>
      <color rgb="FFFFFFFF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/>
      <name val="Georgia"/>
      <family val="1"/>
    </font>
    <font>
      <sz val="10"/>
      <color theme="0"/>
      <name val="Arial"/>
      <family val="2"/>
    </font>
    <font>
      <sz val="10"/>
      <color theme="2"/>
      <name val="Arial"/>
      <family val="2"/>
    </font>
    <font>
      <sz val="16"/>
      <color rgb="FF7CC7EF"/>
      <name val="Georgia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A74BA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25"/>
      </top>
      <bottom style="thin">
        <color indexed="25"/>
      </bottom>
      <diagonal/>
    </border>
    <border>
      <left/>
      <right/>
      <top/>
      <bottom style="thin">
        <color indexed="25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25"/>
      </top>
      <bottom style="thick">
        <color indexed="25"/>
      </bottom>
      <diagonal/>
    </border>
    <border>
      <left/>
      <right/>
      <top style="thick">
        <color indexed="25"/>
      </top>
      <bottom style="thick">
        <color indexed="25"/>
      </bottom>
      <diagonal/>
    </border>
    <border>
      <left/>
      <right/>
      <top style="thick">
        <color indexed="25"/>
      </top>
      <bottom/>
      <diagonal/>
    </border>
    <border>
      <left/>
      <right/>
      <top/>
      <bottom style="thick">
        <color indexed="25"/>
      </bottom>
      <diagonal/>
    </border>
    <border>
      <left/>
      <right/>
      <top style="thin">
        <color indexed="25"/>
      </top>
      <bottom/>
      <diagonal/>
    </border>
    <border>
      <left/>
      <right/>
      <top/>
      <bottom style="thin">
        <color rgb="FF7CC7E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11">
    <xf numFmtId="0" fontId="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5" fillId="0" borderId="1" applyBorder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174" fontId="40" fillId="0" borderId="0" applyNumberFormat="0" applyFill="0" applyBorder="0" applyAlignment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6" fillId="14" borderId="3" applyNumberFormat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81" fontId="50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15" fontId="50" fillId="0" borderId="0" applyFont="0" applyFill="0" applyBorder="0" applyAlignment="0" applyProtection="0">
      <alignment horizontal="left"/>
    </xf>
    <xf numFmtId="15" fontId="60" fillId="0" borderId="0" applyFont="0" applyFill="0" applyBorder="0" applyAlignment="0" applyProtection="0">
      <alignment horizontal="left"/>
    </xf>
    <xf numFmtId="15" fontId="60" fillId="0" borderId="0" applyFont="0" applyFill="0" applyBorder="0" applyAlignment="0" applyProtection="0">
      <alignment horizontal="left"/>
    </xf>
    <xf numFmtId="15" fontId="60" fillId="0" borderId="0" applyFont="0" applyFill="0" applyBorder="0" applyAlignment="0" applyProtection="0">
      <alignment horizontal="left"/>
    </xf>
    <xf numFmtId="186" fontId="7" fillId="0" borderId="0" applyFont="0" applyFill="0" applyBorder="0" applyProtection="0">
      <alignment horizontal="left"/>
    </xf>
    <xf numFmtId="186" fontId="42" fillId="0" borderId="0" applyFont="0" applyFill="0" applyBorder="0" applyProtection="0">
      <alignment horizontal="left"/>
    </xf>
    <xf numFmtId="186" fontId="42" fillId="0" borderId="0" applyFont="0" applyFill="0" applyBorder="0" applyProtection="0">
      <alignment horizontal="left"/>
    </xf>
    <xf numFmtId="186" fontId="42" fillId="0" borderId="0" applyFont="0" applyFill="0" applyBorder="0" applyProtection="0">
      <alignment horizontal="left"/>
    </xf>
    <xf numFmtId="176" fontId="51" fillId="0" borderId="0" applyFont="0" applyFill="0" applyBorder="0" applyAlignment="0" applyProtection="0">
      <protection locked="0"/>
    </xf>
    <xf numFmtId="39" fontId="52" fillId="0" borderId="0" applyFont="0" applyFill="0" applyBorder="0" applyAlignment="0" applyProtection="0"/>
    <xf numFmtId="177" fontId="53" fillId="0" borderId="0" applyFont="0" applyFill="0" applyBorder="0" applyAlignment="0"/>
    <xf numFmtId="177" fontId="61" fillId="0" borderId="0" applyFont="0" applyFill="0" applyBorder="0" applyAlignment="0"/>
    <xf numFmtId="177" fontId="61" fillId="0" borderId="0" applyFont="0" applyFill="0" applyBorder="0" applyAlignment="0"/>
    <xf numFmtId="177" fontId="61" fillId="0" borderId="0" applyFont="0" applyFill="0" applyBorder="0" applyAlignment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29" fillId="3" borderId="2" applyNumberFormat="0" applyAlignment="0" applyProtection="0"/>
    <xf numFmtId="0" fontId="7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175" fontId="7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8" fillId="0" borderId="0">
      <protection locked="0"/>
    </xf>
    <xf numFmtId="0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8" fontId="3" fillId="23" borderId="0" applyNumberFormat="0" applyBorder="0" applyAlignment="0" applyProtection="0"/>
    <xf numFmtId="0" fontId="41" fillId="0" borderId="5" applyNumberFormat="0" applyAlignment="0" applyProtection="0">
      <alignment horizontal="left" vertical="center"/>
    </xf>
    <xf numFmtId="0" fontId="41" fillId="0" borderId="6">
      <alignment horizontal="left"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37" fontId="56" fillId="0" borderId="0" applyFill="0" applyBorder="0" applyAlignment="0">
      <protection locked="0"/>
    </xf>
    <xf numFmtId="169" fontId="56" fillId="0" borderId="7" applyFill="0" applyBorder="0" applyAlignment="0">
      <alignment horizontal="center"/>
      <protection locked="0"/>
    </xf>
    <xf numFmtId="10" fontId="3" fillId="24" borderId="8" applyNumberFormat="0" applyBorder="0" applyAlignment="0" applyProtection="0"/>
    <xf numFmtId="176" fontId="56" fillId="0" borderId="0" applyFill="0" applyBorder="0" applyAlignment="0">
      <protection locked="0"/>
    </xf>
    <xf numFmtId="177" fontId="56" fillId="0" borderId="0" applyFill="0" applyBorder="0" applyAlignment="0" applyProtection="0">
      <protection locked="0"/>
    </xf>
    <xf numFmtId="174" fontId="7" fillId="0" borderId="0" applyFill="0" applyBorder="0" applyProtection="0">
      <alignment vertical="center"/>
    </xf>
    <xf numFmtId="38" fontId="43" fillId="0" borderId="0" applyFill="0">
      <alignment vertical="center"/>
      <protection locked="0"/>
    </xf>
    <xf numFmtId="38" fontId="64" fillId="0" borderId="0" applyFill="0">
      <alignment vertical="center"/>
      <protection locked="0"/>
    </xf>
    <xf numFmtId="38" fontId="64" fillId="0" borderId="0" applyFill="0">
      <alignment vertical="center"/>
      <protection locked="0"/>
    </xf>
    <xf numFmtId="38" fontId="64" fillId="0" borderId="0" applyFill="0">
      <alignment vertical="center"/>
      <protection locked="0"/>
    </xf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6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0" fontId="17" fillId="0" borderId="0">
      <protection locked="0"/>
    </xf>
    <xf numFmtId="178" fontId="4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0" borderId="0"/>
    <xf numFmtId="183" fontId="57" fillId="0" borderId="0"/>
    <xf numFmtId="0" fontId="74" fillId="0" borderId="0"/>
    <xf numFmtId="0" fontId="7" fillId="0" borderId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174" fontId="13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4" fillId="0" borderId="0"/>
    <xf numFmtId="0" fontId="7" fillId="0" borderId="0"/>
    <xf numFmtId="0" fontId="7" fillId="0" borderId="0"/>
    <xf numFmtId="0" fontId="7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6" fillId="0" borderId="0"/>
    <xf numFmtId="0" fontId="73" fillId="0" borderId="0"/>
    <xf numFmtId="0" fontId="2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/>
    <xf numFmtId="0" fontId="21" fillId="0" borderId="0"/>
    <xf numFmtId="0" fontId="7" fillId="0" borderId="0"/>
    <xf numFmtId="0" fontId="42" fillId="0" borderId="0"/>
    <xf numFmtId="0" fontId="38" fillId="0" borderId="0"/>
    <xf numFmtId="0" fontId="9" fillId="0" borderId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5" fontId="53" fillId="0" borderId="10" applyFont="0" applyFill="0" applyBorder="0" applyAlignment="0" applyProtection="0">
      <alignment horizontal="right"/>
    </xf>
    <xf numFmtId="186" fontId="7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22" fontId="7" fillId="0" borderId="0" applyFont="0" applyFill="0" applyBorder="0" applyAlignment="0" applyProtection="0"/>
    <xf numFmtId="22" fontId="42" fillId="0" borderId="0" applyFont="0" applyFill="0" applyBorder="0" applyAlignment="0" applyProtection="0"/>
    <xf numFmtId="22" fontId="42" fillId="0" borderId="0" applyFont="0" applyFill="0" applyBorder="0" applyAlignment="0" applyProtection="0"/>
    <xf numFmtId="22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79" fontId="17" fillId="0" borderId="0">
      <protection locked="0"/>
    </xf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43" fillId="0" borderId="0" applyFill="0" applyBorder="0" applyAlignment="0" applyProtection="0"/>
    <xf numFmtId="3" fontId="39" fillId="0" borderId="0" applyFill="0" applyBorder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0" fontId="32" fillId="18" borderId="11" applyNumberFormat="0" applyAlignment="0" applyProtection="0"/>
    <xf numFmtId="4" fontId="46" fillId="26" borderId="12" applyNumberFormat="0" applyProtection="0">
      <alignment horizontal="right" vertical="center"/>
    </xf>
    <xf numFmtId="4" fontId="65" fillId="26" borderId="12" applyNumberFormat="0" applyProtection="0">
      <alignment horizontal="right" vertical="center"/>
    </xf>
    <xf numFmtId="4" fontId="65" fillId="26" borderId="12" applyNumberFormat="0" applyProtection="0">
      <alignment horizontal="right" vertical="center"/>
    </xf>
    <xf numFmtId="4" fontId="65" fillId="26" borderId="12" applyNumberFormat="0" applyProtection="0">
      <alignment horizontal="right" vertical="center"/>
    </xf>
    <xf numFmtId="38" fontId="50" fillId="27" borderId="0" applyNumberFormat="0" applyFont="0" applyBorder="0" applyAlignment="0" applyProtection="0"/>
    <xf numFmtId="38" fontId="60" fillId="27" borderId="0" applyNumberFormat="0" applyFont="0" applyBorder="0" applyAlignment="0" applyProtection="0"/>
    <xf numFmtId="38" fontId="60" fillId="27" borderId="0" applyNumberFormat="0" applyFont="0" applyBorder="0" applyAlignment="0" applyProtection="0"/>
    <xf numFmtId="38" fontId="60" fillId="27" borderId="0" applyNumberFormat="0" applyFont="0" applyBorder="0" applyAlignment="0" applyProtection="0"/>
    <xf numFmtId="37" fontId="43" fillId="0" borderId="0"/>
    <xf numFmtId="38" fontId="58" fillId="0" borderId="0" applyFill="0" applyBorder="0" applyAlignment="0" applyProtection="0"/>
    <xf numFmtId="187" fontId="7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187" fontId="42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" fontId="51" fillId="0" borderId="0" applyFont="0" applyFill="0" applyBorder="0" applyAlignment="0" applyProtection="0">
      <alignment horizontal="left"/>
    </xf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0" fontId="44" fillId="0" borderId="16" applyNumberFormat="0" applyFont="0" applyFill="0" applyAlignment="0" applyProtection="0"/>
    <xf numFmtId="10" fontId="59" fillId="0" borderId="17" applyNumberFormat="0" applyFont="0" applyFill="0" applyAlignment="0" applyProtection="0"/>
    <xf numFmtId="184" fontId="7" fillId="0" borderId="6" applyFont="0" applyFill="0" applyBorder="0" applyAlignment="0" applyProtection="0"/>
    <xf numFmtId="184" fontId="42" fillId="0" borderId="6" applyFont="0" applyFill="0" applyBorder="0" applyAlignment="0" applyProtection="0"/>
    <xf numFmtId="184" fontId="42" fillId="0" borderId="6" applyFont="0" applyFill="0" applyBorder="0" applyAlignment="0" applyProtection="0"/>
    <xf numFmtId="184" fontId="42" fillId="0" borderId="6" applyFont="0" applyFill="0" applyBorder="0" applyAlignment="0" applyProtection="0"/>
    <xf numFmtId="0" fontId="2" fillId="0" borderId="0"/>
    <xf numFmtId="0" fontId="2" fillId="0" borderId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5" fontId="50" fillId="0" borderId="0" applyFont="0" applyFill="0" applyBorder="0" applyAlignment="0" applyProtection="0">
      <alignment horizontal="left"/>
    </xf>
    <xf numFmtId="15" fontId="50" fillId="0" borderId="0" applyFont="0" applyFill="0" applyBorder="0" applyAlignment="0" applyProtection="0">
      <alignment horizontal="left"/>
    </xf>
    <xf numFmtId="15" fontId="50" fillId="0" borderId="0" applyFont="0" applyFill="0" applyBorder="0" applyAlignment="0" applyProtection="0">
      <alignment horizontal="left"/>
    </xf>
    <xf numFmtId="186" fontId="2" fillId="0" borderId="0" applyFont="0" applyFill="0" applyBorder="0" applyProtection="0">
      <alignment horizontal="left"/>
    </xf>
    <xf numFmtId="186" fontId="2" fillId="0" borderId="0" applyFont="0" applyFill="0" applyBorder="0" applyProtection="0">
      <alignment horizontal="left"/>
    </xf>
    <xf numFmtId="186" fontId="2" fillId="0" borderId="0" applyFont="0" applyFill="0" applyBorder="0" applyProtection="0">
      <alignment horizontal="left"/>
    </xf>
    <xf numFmtId="186" fontId="2" fillId="0" borderId="0" applyFont="0" applyFill="0" applyBorder="0" applyProtection="0">
      <alignment horizontal="left"/>
    </xf>
    <xf numFmtId="177" fontId="53" fillId="0" borderId="0" applyFont="0" applyFill="0" applyBorder="0" applyAlignment="0"/>
    <xf numFmtId="177" fontId="53" fillId="0" borderId="0" applyFont="0" applyFill="0" applyBorder="0" applyAlignment="0"/>
    <xf numFmtId="177" fontId="53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4" fontId="2" fillId="0" borderId="0" applyFill="0" applyBorder="0" applyProtection="0">
      <alignment vertical="center"/>
    </xf>
    <xf numFmtId="38" fontId="43" fillId="0" borderId="0" applyFill="0">
      <alignment vertical="center"/>
      <protection locked="0"/>
    </xf>
    <xf numFmtId="38" fontId="43" fillId="0" borderId="0" applyFill="0">
      <alignment vertical="center"/>
      <protection locked="0"/>
    </xf>
    <xf numFmtId="38" fontId="43" fillId="0" borderId="0" applyFill="0">
      <alignment vertical="center"/>
      <protection locked="0"/>
    </xf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6" fillId="0" borderId="0"/>
    <xf numFmtId="0" fontId="2" fillId="0" borderId="0"/>
    <xf numFmtId="0" fontId="2" fillId="0" borderId="0"/>
    <xf numFmtId="0" fontId="14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2" fontId="2" fillId="0" borderId="0" applyFont="0" applyFill="0" applyBorder="0" applyAlignment="0" applyProtection="0"/>
    <xf numFmtId="22" fontId="2" fillId="0" borderId="0" applyFont="0" applyFill="0" applyBorder="0" applyAlignment="0" applyProtection="0"/>
    <xf numFmtId="22" fontId="2" fillId="0" borderId="0" applyFont="0" applyFill="0" applyBorder="0" applyAlignment="0" applyProtection="0"/>
    <xf numFmtId="22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6" fillId="26" borderId="12" applyNumberFormat="0" applyProtection="0">
      <alignment horizontal="right" vertical="center"/>
    </xf>
    <xf numFmtId="4" fontId="46" fillId="26" borderId="12" applyNumberFormat="0" applyProtection="0">
      <alignment horizontal="right" vertical="center"/>
    </xf>
    <xf numFmtId="4" fontId="46" fillId="26" borderId="12" applyNumberFormat="0" applyProtection="0">
      <alignment horizontal="right" vertical="center"/>
    </xf>
    <xf numFmtId="38" fontId="50" fillId="27" borderId="0" applyNumberFormat="0" applyFont="0" applyBorder="0" applyAlignment="0" applyProtection="0"/>
    <xf numFmtId="38" fontId="50" fillId="27" borderId="0" applyNumberFormat="0" applyFont="0" applyBorder="0" applyAlignment="0" applyProtection="0"/>
    <xf numFmtId="38" fontId="50" fillId="27" borderId="0" applyNumberFormat="0" applyFont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4" fontId="2" fillId="0" borderId="6" applyFont="0" applyFill="0" applyBorder="0" applyAlignment="0" applyProtection="0"/>
    <xf numFmtId="184" fontId="2" fillId="0" borderId="6" applyFont="0" applyFill="0" applyBorder="0" applyAlignment="0" applyProtection="0"/>
    <xf numFmtId="184" fontId="2" fillId="0" borderId="6" applyFont="0" applyFill="0" applyBorder="0" applyAlignment="0" applyProtection="0"/>
    <xf numFmtId="184" fontId="2" fillId="0" borderId="6" applyFont="0" applyFill="0" applyBorder="0" applyAlignment="0" applyProtection="0"/>
  </cellStyleXfs>
  <cellXfs count="266">
    <xf numFmtId="0" fontId="0" fillId="0" borderId="0" xfId="0"/>
    <xf numFmtId="0" fontId="5" fillId="28" borderId="0" xfId="0" applyFont="1" applyFill="1"/>
    <xf numFmtId="0" fontId="7" fillId="28" borderId="0" xfId="0" applyFont="1" applyFill="1"/>
    <xf numFmtId="0" fontId="11" fillId="28" borderId="0" xfId="0" applyFont="1" applyFill="1"/>
    <xf numFmtId="0" fontId="7" fillId="28" borderId="0" xfId="0" quotePrefix="1" applyFont="1" applyFill="1"/>
    <xf numFmtId="167" fontId="11" fillId="28" borderId="0" xfId="0" applyNumberFormat="1" applyFont="1" applyFill="1"/>
    <xf numFmtId="169" fontId="7" fillId="28" borderId="0" xfId="838" applyNumberFormat="1" applyFont="1" applyFill="1"/>
    <xf numFmtId="167" fontId="7" fillId="28" borderId="0" xfId="0" applyNumberFormat="1" applyFont="1" applyFill="1"/>
    <xf numFmtId="0" fontId="7" fillId="28" borderId="0" xfId="0" applyFont="1" applyFill="1" applyAlignment="1">
      <alignment vertical="center"/>
    </xf>
    <xf numFmtId="0" fontId="5" fillId="28" borderId="0" xfId="0" applyFont="1" applyFill="1" applyAlignment="1">
      <alignment vertical="center"/>
    </xf>
    <xf numFmtId="3" fontId="7" fillId="28" borderId="0" xfId="0" applyNumberFormat="1" applyFont="1" applyFill="1"/>
    <xf numFmtId="168" fontId="7" fillId="28" borderId="0" xfId="0" applyNumberFormat="1" applyFont="1" applyFill="1"/>
    <xf numFmtId="166" fontId="7" fillId="28" borderId="0" xfId="0" applyNumberFormat="1" applyFont="1" applyFill="1"/>
    <xf numFmtId="0" fontId="10" fillId="28" borderId="0" xfId="0" applyFont="1" applyFill="1" applyAlignment="1">
      <alignment horizontal="center"/>
    </xf>
    <xf numFmtId="9" fontId="7" fillId="28" borderId="0" xfId="838" applyFont="1" applyFill="1"/>
    <xf numFmtId="167" fontId="7" fillId="28" borderId="0" xfId="632" applyNumberFormat="1" applyFont="1" applyFill="1"/>
    <xf numFmtId="167" fontId="67" fillId="28" borderId="0" xfId="632" applyNumberFormat="1" applyFont="1" applyFill="1"/>
    <xf numFmtId="0" fontId="74" fillId="28" borderId="0" xfId="736" applyFill="1"/>
    <xf numFmtId="0" fontId="74" fillId="28" borderId="0" xfId="710" applyFill="1"/>
    <xf numFmtId="3" fontId="74" fillId="28" borderId="0" xfId="710" applyNumberFormat="1" applyFill="1"/>
    <xf numFmtId="0" fontId="69" fillId="29" borderId="0" xfId="0" applyFont="1" applyFill="1"/>
    <xf numFmtId="0" fontId="5" fillId="28" borderId="18" xfId="0" applyFont="1" applyFill="1" applyBorder="1" applyAlignment="1">
      <alignment horizontal="left" vertical="center" wrapText="1"/>
    </xf>
    <xf numFmtId="0" fontId="70" fillId="28" borderId="0" xfId="0" applyFont="1" applyFill="1" applyAlignment="1">
      <alignment vertical="center"/>
    </xf>
    <xf numFmtId="0" fontId="72" fillId="29" borderId="0" xfId="0" applyFont="1" applyFill="1"/>
    <xf numFmtId="0" fontId="71" fillId="29" borderId="0" xfId="600" applyFont="1" applyFill="1" applyBorder="1" applyAlignment="1" applyProtection="1">
      <alignment vertical="center"/>
    </xf>
    <xf numFmtId="0" fontId="7" fillId="28" borderId="0" xfId="0" applyFont="1" applyFill="1" applyAlignment="1">
      <alignment horizontal="left"/>
    </xf>
    <xf numFmtId="0" fontId="6" fillId="28" borderId="0" xfId="0" applyFont="1" applyFill="1" applyAlignment="1">
      <alignment horizontal="left"/>
    </xf>
    <xf numFmtId="0" fontId="5" fillId="28" borderId="20" xfId="0" applyFont="1" applyFill="1" applyBorder="1" applyAlignment="1">
      <alignment horizontal="left" vertical="center"/>
    </xf>
    <xf numFmtId="0" fontId="7" fillId="28" borderId="0" xfId="0" applyFont="1" applyFill="1" applyAlignment="1">
      <alignment horizontal="left" indent="1"/>
    </xf>
    <xf numFmtId="0" fontId="5" fillId="30" borderId="20" xfId="0" applyFont="1" applyFill="1" applyBorder="1" applyAlignment="1">
      <alignment vertical="center"/>
    </xf>
    <xf numFmtId="167" fontId="5" fillId="30" borderId="20" xfId="632" applyNumberFormat="1" applyFont="1" applyFill="1" applyBorder="1" applyAlignment="1">
      <alignment vertical="center"/>
    </xf>
    <xf numFmtId="0" fontId="5" fillId="30" borderId="19" xfId="0" applyFont="1" applyFill="1" applyBorder="1" applyAlignment="1">
      <alignment vertical="center"/>
    </xf>
    <xf numFmtId="0" fontId="5" fillId="30" borderId="21" xfId="0" applyFont="1" applyFill="1" applyBorder="1" applyAlignment="1">
      <alignment vertical="center"/>
    </xf>
    <xf numFmtId="0" fontId="5" fillId="28" borderId="18" xfId="0" applyFont="1" applyFill="1" applyBorder="1" applyAlignment="1">
      <alignment horizontal="left" vertical="center" wrapText="1" indent="1"/>
    </xf>
    <xf numFmtId="167" fontId="2" fillId="30" borderId="20" xfId="632" applyNumberFormat="1" applyFont="1" applyFill="1" applyBorder="1" applyAlignment="1">
      <alignment vertical="center"/>
    </xf>
    <xf numFmtId="9" fontId="2" fillId="30" borderId="21" xfId="838" applyNumberFormat="1" applyFont="1" applyFill="1" applyBorder="1" applyAlignment="1">
      <alignment vertical="center"/>
    </xf>
    <xf numFmtId="0" fontId="2" fillId="28" borderId="0" xfId="0" applyFont="1" applyFill="1"/>
    <xf numFmtId="9" fontId="5" fillId="30" borderId="21" xfId="838" applyNumberFormat="1" applyFont="1" applyFill="1" applyBorder="1" applyAlignment="1">
      <alignment vertical="center"/>
    </xf>
    <xf numFmtId="0" fontId="2" fillId="28" borderId="0" xfId="0" applyFont="1" applyFill="1" applyAlignment="1">
      <alignment vertical="center"/>
    </xf>
    <xf numFmtId="0" fontId="5" fillId="28" borderId="19" xfId="0" applyFont="1" applyFill="1" applyBorder="1" applyAlignment="1">
      <alignment horizontal="right" vertical="center" wrapText="1"/>
    </xf>
    <xf numFmtId="0" fontId="69" fillId="29" borderId="0" xfId="0" applyFont="1" applyFill="1" applyBorder="1"/>
    <xf numFmtId="189" fontId="2" fillId="28" borderId="20" xfId="632" applyNumberFormat="1" applyFont="1" applyFill="1" applyBorder="1" applyAlignment="1">
      <alignment horizontal="right" vertical="center"/>
    </xf>
    <xf numFmtId="0" fontId="2" fillId="28" borderId="0" xfId="1017" applyFont="1" applyFill="1"/>
    <xf numFmtId="0" fontId="5" fillId="28" borderId="18" xfId="0" applyFont="1" applyFill="1" applyBorder="1" applyAlignment="1">
      <alignment horizontal="right" vertical="center" wrapText="1"/>
    </xf>
    <xf numFmtId="9" fontId="11" fillId="28" borderId="0" xfId="838" applyFont="1" applyFill="1"/>
    <xf numFmtId="9" fontId="2" fillId="28" borderId="0" xfId="838" applyFont="1" applyFill="1"/>
    <xf numFmtId="167" fontId="7" fillId="28" borderId="0" xfId="838" applyNumberFormat="1" applyFont="1" applyFill="1"/>
    <xf numFmtId="10" fontId="7" fillId="28" borderId="0" xfId="838" applyNumberFormat="1" applyFont="1" applyFill="1"/>
    <xf numFmtId="190" fontId="7" fillId="28" borderId="0" xfId="838" applyNumberFormat="1" applyFont="1" applyFill="1"/>
    <xf numFmtId="169" fontId="11" fillId="28" borderId="0" xfId="838" applyNumberFormat="1" applyFont="1" applyFill="1"/>
    <xf numFmtId="0" fontId="5" fillId="28" borderId="18" xfId="0" applyFont="1" applyFill="1" applyBorder="1" applyAlignment="1">
      <alignment horizontal="right" vertical="center" wrapText="1"/>
    </xf>
    <xf numFmtId="0" fontId="5" fillId="28" borderId="18" xfId="0" applyFont="1" applyFill="1" applyBorder="1" applyAlignment="1">
      <alignment horizontal="right" vertical="center" wrapText="1"/>
    </xf>
    <xf numFmtId="166" fontId="2" fillId="30" borderId="20" xfId="632" applyNumberFormat="1" applyFont="1" applyFill="1" applyBorder="1" applyAlignment="1">
      <alignment vertical="center"/>
    </xf>
    <xf numFmtId="166" fontId="5" fillId="30" borderId="20" xfId="632" applyNumberFormat="1" applyFont="1" applyFill="1" applyBorder="1" applyAlignment="1">
      <alignment vertical="center"/>
    </xf>
    <xf numFmtId="0" fontId="5" fillId="28" borderId="18" xfId="0" applyFont="1" applyFill="1" applyBorder="1" applyAlignment="1">
      <alignment horizontal="right" vertical="center" wrapText="1"/>
    </xf>
    <xf numFmtId="166" fontId="7" fillId="28" borderId="0" xfId="838" applyNumberFormat="1" applyFont="1" applyFill="1"/>
    <xf numFmtId="0" fontId="5" fillId="28" borderId="18" xfId="0" applyFont="1" applyFill="1" applyBorder="1" applyAlignment="1">
      <alignment horizontal="right" vertical="center" wrapText="1"/>
    </xf>
    <xf numFmtId="43" fontId="7" fillId="28" borderId="0" xfId="632" applyFont="1" applyFill="1"/>
    <xf numFmtId="169" fontId="2" fillId="28" borderId="0" xfId="838" applyNumberFormat="1" applyFont="1" applyFill="1"/>
    <xf numFmtId="0" fontId="2" fillId="28" borderId="0" xfId="0" applyFont="1" applyFill="1" applyAlignment="1">
      <alignment horizontal="left" indent="1"/>
    </xf>
    <xf numFmtId="0" fontId="2" fillId="28" borderId="0" xfId="0" applyFont="1" applyFill="1" applyAlignment="1">
      <alignment horizontal="left"/>
    </xf>
    <xf numFmtId="191" fontId="7" fillId="28" borderId="0" xfId="0" applyNumberFormat="1" applyFont="1" applyFill="1"/>
    <xf numFmtId="166" fontId="11" fillId="28" borderId="0" xfId="0" applyNumberFormat="1" applyFont="1" applyFill="1"/>
    <xf numFmtId="17" fontId="11" fillId="28" borderId="0" xfId="0" applyNumberFormat="1" applyFont="1" applyFill="1"/>
    <xf numFmtId="17" fontId="7" fillId="28" borderId="0" xfId="0" applyNumberFormat="1" applyFont="1" applyFill="1"/>
    <xf numFmtId="0" fontId="5" fillId="28" borderId="18" xfId="0" applyFont="1" applyFill="1" applyBorder="1" applyAlignment="1">
      <alignment horizontal="right" vertical="center" wrapText="1"/>
    </xf>
    <xf numFmtId="167" fontId="2" fillId="28" borderId="0" xfId="0" applyNumberFormat="1" applyFont="1" applyFill="1"/>
    <xf numFmtId="164" fontId="7" fillId="28" borderId="0" xfId="0" applyNumberFormat="1" applyFont="1" applyFill="1"/>
    <xf numFmtId="166" fontId="2" fillId="28" borderId="0" xfId="838" applyNumberFormat="1" applyFont="1" applyFill="1"/>
    <xf numFmtId="166" fontId="11" fillId="28" borderId="0" xfId="838" applyNumberFormat="1" applyFont="1" applyFill="1"/>
    <xf numFmtId="192" fontId="11" fillId="28" borderId="0" xfId="0" applyNumberFormat="1" applyFont="1" applyFill="1"/>
    <xf numFmtId="3" fontId="11" fillId="28" borderId="0" xfId="838" applyNumberFormat="1" applyFont="1" applyFill="1"/>
    <xf numFmtId="167" fontId="2" fillId="31" borderId="20" xfId="632" applyNumberFormat="1" applyFont="1" applyFill="1" applyBorder="1" applyAlignment="1">
      <alignment vertical="center"/>
    </xf>
    <xf numFmtId="167" fontId="2" fillId="30" borderId="20" xfId="632" applyNumberFormat="1" applyFont="1" applyFill="1" applyBorder="1" applyAlignment="1">
      <alignment horizontal="left" vertical="center" indent="3"/>
    </xf>
    <xf numFmtId="0" fontId="5" fillId="28" borderId="18" xfId="0" applyFont="1" applyFill="1" applyBorder="1" applyAlignment="1">
      <alignment horizontal="right" vertical="center" wrapText="1"/>
    </xf>
    <xf numFmtId="0" fontId="7" fillId="28" borderId="0" xfId="0" applyFont="1" applyFill="1" applyAlignment="1">
      <alignment horizontal="right" vertical="center"/>
    </xf>
    <xf numFmtId="0" fontId="7" fillId="28" borderId="0" xfId="0" applyFont="1" applyFill="1" applyAlignment="1">
      <alignment horizontal="right"/>
    </xf>
    <xf numFmtId="0" fontId="2" fillId="28" borderId="0" xfId="0" applyFont="1" applyFill="1" applyAlignment="1">
      <alignment horizontal="right"/>
    </xf>
    <xf numFmtId="3" fontId="7" fillId="28" borderId="0" xfId="0" applyNumberFormat="1" applyFont="1" applyFill="1" applyAlignment="1">
      <alignment horizontal="right"/>
    </xf>
    <xf numFmtId="3" fontId="11" fillId="28" borderId="0" xfId="0" applyNumberFormat="1" applyFont="1" applyFill="1" applyAlignment="1">
      <alignment horizontal="right"/>
    </xf>
    <xf numFmtId="9" fontId="7" fillId="28" borderId="0" xfId="838" applyFont="1" applyFill="1" applyAlignment="1">
      <alignment horizontal="right" vertical="center"/>
    </xf>
    <xf numFmtId="9" fontId="2" fillId="28" borderId="0" xfId="838" applyFont="1" applyFill="1" applyAlignment="1">
      <alignment horizontal="right"/>
    </xf>
    <xf numFmtId="9" fontId="7" fillId="28" borderId="0" xfId="838" applyFont="1" applyFill="1" applyAlignment="1">
      <alignment horizontal="right"/>
    </xf>
    <xf numFmtId="9" fontId="11" fillId="28" borderId="0" xfId="838" applyFont="1" applyFill="1" applyAlignment="1">
      <alignment horizontal="right"/>
    </xf>
    <xf numFmtId="9" fontId="7" fillId="28" borderId="0" xfId="838" applyNumberFormat="1" applyFont="1" applyFill="1"/>
    <xf numFmtId="0" fontId="76" fillId="32" borderId="0" xfId="0" applyFont="1" applyFill="1" applyAlignment="1">
      <alignment vertical="center"/>
    </xf>
    <xf numFmtId="0" fontId="69" fillId="29" borderId="0" xfId="0" applyNumberFormat="1" applyFont="1" applyFill="1"/>
    <xf numFmtId="0" fontId="4" fillId="28" borderId="0" xfId="600" applyFont="1" applyFill="1" applyAlignment="1" applyProtection="1">
      <alignment horizontal="right" vertical="center"/>
    </xf>
    <xf numFmtId="0" fontId="2" fillId="28" borderId="0" xfId="1017" applyFont="1" applyFill="1" applyAlignment="1">
      <alignment vertical="top"/>
    </xf>
    <xf numFmtId="0" fontId="5" fillId="28" borderId="0" xfId="1017" applyFont="1" applyFill="1"/>
    <xf numFmtId="0" fontId="2" fillId="28" borderId="0" xfId="1017" applyFont="1" applyFill="1" applyAlignment="1">
      <alignment horizontal="left" indent="1"/>
    </xf>
    <xf numFmtId="0" fontId="2" fillId="28" borderId="0" xfId="1017" applyFont="1" applyFill="1" applyBorder="1"/>
    <xf numFmtId="0" fontId="5" fillId="28" borderId="0" xfId="0" applyFont="1" applyFill="1" applyBorder="1" applyAlignment="1">
      <alignment horizontal="left" vertical="center" wrapText="1"/>
    </xf>
    <xf numFmtId="167" fontId="75" fillId="30" borderId="0" xfId="632" applyNumberFormat="1" applyFont="1" applyFill="1" applyBorder="1" applyAlignment="1">
      <alignment vertical="center"/>
    </xf>
    <xf numFmtId="0" fontId="5" fillId="28" borderId="0" xfId="0" applyFont="1" applyFill="1" applyBorder="1" applyAlignment="1">
      <alignment horizontal="right" vertical="center" wrapText="1"/>
    </xf>
    <xf numFmtId="0" fontId="5" fillId="28" borderId="23" xfId="0" applyFont="1" applyFill="1" applyBorder="1" applyAlignment="1">
      <alignment horizontal="right" vertical="center" wrapText="1"/>
    </xf>
    <xf numFmtId="0" fontId="5" fillId="28" borderId="23" xfId="0" applyFont="1" applyFill="1" applyBorder="1" applyAlignment="1">
      <alignment horizontal="left" wrapText="1"/>
    </xf>
    <xf numFmtId="0" fontId="2" fillId="28" borderId="26" xfId="1017" applyFont="1" applyFill="1" applyBorder="1" applyAlignment="1">
      <alignment horizontal="left" indent="1"/>
    </xf>
    <xf numFmtId="3" fontId="5" fillId="28" borderId="23" xfId="0" applyNumberFormat="1" applyFont="1" applyFill="1" applyBorder="1" applyAlignment="1">
      <alignment horizontal="right" vertical="center" wrapText="1"/>
    </xf>
    <xf numFmtId="3" fontId="2" fillId="28" borderId="0" xfId="1017" applyNumberFormat="1" applyFont="1" applyFill="1" applyAlignment="1">
      <alignment vertical="center"/>
    </xf>
    <xf numFmtId="3" fontId="2" fillId="28" borderId="0" xfId="1017" applyNumberFormat="1" applyFont="1" applyFill="1" applyBorder="1" applyAlignment="1">
      <alignment vertical="center"/>
    </xf>
    <xf numFmtId="0" fontId="2" fillId="28" borderId="0" xfId="1017" applyFont="1" applyFill="1" applyAlignment="1">
      <alignment vertical="center"/>
    </xf>
    <xf numFmtId="0" fontId="2" fillId="28" borderId="0" xfId="1017" applyFont="1" applyFill="1" applyBorder="1" applyAlignment="1">
      <alignment vertical="center"/>
    </xf>
    <xf numFmtId="3" fontId="5" fillId="28" borderId="0" xfId="1017" applyNumberFormat="1" applyFont="1" applyFill="1" applyAlignment="1">
      <alignment vertical="center"/>
    </xf>
    <xf numFmtId="0" fontId="5" fillId="28" borderId="0" xfId="1017" applyFont="1" applyFill="1" applyAlignment="1">
      <alignment vertical="center"/>
    </xf>
    <xf numFmtId="9" fontId="5" fillId="28" borderId="23" xfId="838" applyFont="1" applyFill="1" applyBorder="1" applyAlignment="1">
      <alignment horizontal="right" vertical="center" wrapText="1"/>
    </xf>
    <xf numFmtId="9" fontId="2" fillId="28" borderId="0" xfId="838" applyFont="1" applyFill="1" applyBorder="1" applyAlignment="1">
      <alignment vertical="center"/>
    </xf>
    <xf numFmtId="9" fontId="2" fillId="28" borderId="0" xfId="838" applyFont="1" applyFill="1" applyAlignment="1">
      <alignment vertical="center"/>
    </xf>
    <xf numFmtId="9" fontId="2" fillId="28" borderId="26" xfId="838" applyFont="1" applyFill="1" applyBorder="1" applyAlignment="1">
      <alignment vertical="center"/>
    </xf>
    <xf numFmtId="9" fontId="5" fillId="28" borderId="25" xfId="838" applyFont="1" applyFill="1" applyBorder="1" applyAlignment="1">
      <alignment horizontal="right" vertical="center" wrapText="1"/>
    </xf>
    <xf numFmtId="0" fontId="2" fillId="30" borderId="0" xfId="1017" applyFont="1" applyFill="1" applyBorder="1"/>
    <xf numFmtId="0" fontId="0" fillId="30" borderId="0" xfId="0" applyFill="1"/>
    <xf numFmtId="0" fontId="0" fillId="30" borderId="0" xfId="0" applyFill="1" applyBorder="1"/>
    <xf numFmtId="0" fontId="75" fillId="30" borderId="0" xfId="0" applyFont="1" applyFill="1" applyBorder="1"/>
    <xf numFmtId="0" fontId="75" fillId="30" borderId="0" xfId="1017" applyFont="1" applyFill="1" applyBorder="1"/>
    <xf numFmtId="167" fontId="2" fillId="30" borderId="0" xfId="1017" applyNumberFormat="1" applyFont="1" applyFill="1" applyBorder="1"/>
    <xf numFmtId="0" fontId="5" fillId="30" borderId="0" xfId="0" applyFont="1" applyFill="1" applyBorder="1"/>
    <xf numFmtId="0" fontId="2" fillId="30" borderId="0" xfId="0" applyFont="1" applyFill="1" applyAlignment="1">
      <alignment horizontal="right"/>
    </xf>
    <xf numFmtId="0" fontId="5" fillId="30" borderId="0" xfId="0" applyFont="1" applyFill="1"/>
    <xf numFmtId="3" fontId="0" fillId="30" borderId="0" xfId="0" applyNumberFormat="1" applyFill="1" applyAlignment="1">
      <alignment horizontal="right"/>
    </xf>
    <xf numFmtId="0" fontId="5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7" xfId="0" applyFill="1" applyBorder="1"/>
    <xf numFmtId="0" fontId="2" fillId="30" borderId="0" xfId="0" applyFont="1" applyFill="1" applyBorder="1" applyAlignment="1">
      <alignment horizontal="right"/>
    </xf>
    <xf numFmtId="0" fontId="2" fillId="30" borderId="30" xfId="0" applyFont="1" applyFill="1" applyBorder="1" applyAlignment="1">
      <alignment horizontal="right"/>
    </xf>
    <xf numFmtId="3" fontId="0" fillId="30" borderId="0" xfId="0" applyNumberFormat="1" applyFill="1" applyBorder="1" applyAlignment="1">
      <alignment horizontal="right"/>
    </xf>
    <xf numFmtId="3" fontId="0" fillId="30" borderId="30" xfId="0" applyNumberFormat="1" applyFill="1" applyBorder="1" applyAlignment="1">
      <alignment horizontal="right"/>
    </xf>
    <xf numFmtId="0" fontId="0" fillId="30" borderId="30" xfId="0" applyFill="1" applyBorder="1"/>
    <xf numFmtId="0" fontId="5" fillId="30" borderId="7" xfId="0" applyFont="1" applyFill="1" applyBorder="1"/>
    <xf numFmtId="0" fontId="0" fillId="30" borderId="31" xfId="0" applyFill="1" applyBorder="1"/>
    <xf numFmtId="3" fontId="0" fillId="30" borderId="1" xfId="0" applyNumberFormat="1" applyFill="1" applyBorder="1" applyAlignment="1">
      <alignment horizontal="right"/>
    </xf>
    <xf numFmtId="3" fontId="0" fillId="30" borderId="10" xfId="0" applyNumberFormat="1" applyFill="1" applyBorder="1" applyAlignment="1">
      <alignment horizontal="right"/>
    </xf>
    <xf numFmtId="0" fontId="2" fillId="30" borderId="7" xfId="0" applyFont="1" applyFill="1" applyBorder="1" applyAlignment="1">
      <alignment horizontal="right"/>
    </xf>
    <xf numFmtId="0" fontId="2" fillId="30" borderId="31" xfId="0" applyFont="1" applyFill="1" applyBorder="1" applyAlignment="1">
      <alignment horizontal="right"/>
    </xf>
    <xf numFmtId="3" fontId="0" fillId="30" borderId="1" xfId="0" applyNumberFormat="1" applyFill="1" applyBorder="1"/>
    <xf numFmtId="3" fontId="0" fillId="30" borderId="10" xfId="0" applyNumberFormat="1" applyFill="1" applyBorder="1"/>
    <xf numFmtId="3" fontId="2" fillId="30" borderId="0" xfId="0" applyNumberFormat="1" applyFont="1" applyFill="1" applyBorder="1" applyAlignment="1">
      <alignment horizontal="right"/>
    </xf>
    <xf numFmtId="166" fontId="2" fillId="30" borderId="20" xfId="632" applyNumberFormat="1" applyFont="1" applyFill="1" applyBorder="1" applyAlignment="1">
      <alignment horizontal="left" vertical="center" indent="3"/>
    </xf>
    <xf numFmtId="9" fontId="2" fillId="30" borderId="21" xfId="838" applyFont="1" applyFill="1" applyBorder="1" applyAlignment="1">
      <alignment vertical="center"/>
    </xf>
    <xf numFmtId="0" fontId="5" fillId="28" borderId="18" xfId="0" applyFont="1" applyFill="1" applyBorder="1" applyAlignment="1">
      <alignment horizontal="right" vertical="center" wrapText="1"/>
    </xf>
    <xf numFmtId="0" fontId="5" fillId="28" borderId="18" xfId="0" applyFont="1" applyFill="1" applyBorder="1" applyAlignment="1">
      <alignment horizontal="right" vertical="center" wrapText="1"/>
    </xf>
    <xf numFmtId="0" fontId="5" fillId="28" borderId="18" xfId="0" applyFont="1" applyFill="1" applyBorder="1" applyAlignment="1">
      <alignment horizontal="right" vertical="center" wrapText="1"/>
    </xf>
    <xf numFmtId="1" fontId="2" fillId="28" borderId="26" xfId="1017" applyNumberFormat="1" applyFont="1" applyFill="1" applyBorder="1" applyAlignment="1">
      <alignment vertical="center"/>
    </xf>
    <xf numFmtId="3" fontId="2" fillId="28" borderId="0" xfId="1017" applyNumberFormat="1" applyFont="1" applyFill="1"/>
    <xf numFmtId="3" fontId="5" fillId="28" borderId="0" xfId="1017" applyNumberFormat="1" applyFont="1" applyFill="1" applyBorder="1" applyAlignment="1">
      <alignment vertical="center"/>
    </xf>
    <xf numFmtId="43" fontId="7" fillId="28" borderId="0" xfId="0" applyNumberFormat="1" applyFont="1" applyFill="1"/>
    <xf numFmtId="167" fontId="2" fillId="0" borderId="20" xfId="632" applyNumberFormat="1" applyFont="1" applyFill="1" applyBorder="1" applyAlignment="1">
      <alignment vertical="center"/>
    </xf>
    <xf numFmtId="9" fontId="2" fillId="0" borderId="21" xfId="838" applyNumberFormat="1" applyFont="1" applyFill="1" applyBorder="1" applyAlignment="1">
      <alignment vertical="center"/>
    </xf>
    <xf numFmtId="189" fontId="2" fillId="28" borderId="0" xfId="0" applyNumberFormat="1" applyFont="1" applyFill="1"/>
    <xf numFmtId="0" fontId="5" fillId="28" borderId="18" xfId="0" applyFont="1" applyFill="1" applyBorder="1" applyAlignment="1">
      <alignment horizontal="right" vertical="center" wrapText="1"/>
    </xf>
    <xf numFmtId="43" fontId="2" fillId="30" borderId="20" xfId="632" applyNumberFormat="1" applyFont="1" applyFill="1" applyBorder="1" applyAlignment="1">
      <alignment vertical="center"/>
    </xf>
    <xf numFmtId="2" fontId="2" fillId="28" borderId="0" xfId="1017" applyNumberFormat="1" applyFont="1" applyFill="1"/>
    <xf numFmtId="43" fontId="2" fillId="28" borderId="0" xfId="632" applyFont="1" applyFill="1"/>
    <xf numFmtId="0" fontId="7" fillId="30" borderId="0" xfId="0" applyFont="1" applyFill="1"/>
    <xf numFmtId="9" fontId="7" fillId="30" borderId="0" xfId="838" applyFont="1" applyFill="1"/>
    <xf numFmtId="166" fontId="7" fillId="30" borderId="0" xfId="0" applyNumberFormat="1" applyFont="1" applyFill="1"/>
    <xf numFmtId="167" fontId="7" fillId="30" borderId="0" xfId="838" applyNumberFormat="1" applyFont="1" applyFill="1"/>
    <xf numFmtId="0" fontId="5" fillId="28" borderId="18" xfId="0" applyFont="1" applyFill="1" applyBorder="1" applyAlignment="1">
      <alignment horizontal="right" vertical="center" wrapText="1"/>
    </xf>
    <xf numFmtId="167" fontId="5" fillId="0" borderId="20" xfId="632" applyNumberFormat="1" applyFont="1" applyFill="1" applyBorder="1" applyAlignment="1">
      <alignment vertical="center"/>
    </xf>
    <xf numFmtId="166" fontId="5" fillId="0" borderId="20" xfId="632" applyNumberFormat="1" applyFont="1" applyFill="1" applyBorder="1" applyAlignment="1">
      <alignment vertical="center"/>
    </xf>
    <xf numFmtId="9" fontId="5" fillId="0" borderId="21" xfId="838" applyNumberFormat="1" applyFont="1" applyFill="1" applyBorder="1" applyAlignment="1">
      <alignment vertical="center"/>
    </xf>
    <xf numFmtId="166" fontId="2" fillId="0" borderId="20" xfId="632" applyNumberFormat="1" applyFont="1" applyFill="1" applyBorder="1" applyAlignment="1">
      <alignment vertical="center"/>
    </xf>
    <xf numFmtId="0" fontId="2" fillId="33" borderId="0" xfId="0" applyFont="1" applyFill="1"/>
    <xf numFmtId="0" fontId="7" fillId="30" borderId="0" xfId="0" applyFont="1" applyFill="1" applyAlignment="1">
      <alignment vertical="center"/>
    </xf>
    <xf numFmtId="0" fontId="11" fillId="30" borderId="0" xfId="0" applyFont="1" applyFill="1"/>
    <xf numFmtId="0" fontId="5" fillId="33" borderId="0" xfId="0" applyFont="1" applyFill="1" applyAlignment="1">
      <alignment horizontal="center" vertical="center"/>
    </xf>
    <xf numFmtId="169" fontId="2" fillId="30" borderId="21" xfId="838" applyNumberFormat="1" applyFont="1" applyFill="1" applyBorder="1" applyAlignment="1">
      <alignment vertical="center"/>
    </xf>
    <xf numFmtId="17" fontId="79" fillId="29" borderId="0" xfId="0" applyNumberFormat="1" applyFont="1" applyFill="1"/>
    <xf numFmtId="0" fontId="79" fillId="29" borderId="0" xfId="0" applyFont="1" applyFill="1"/>
    <xf numFmtId="167" fontId="5" fillId="30" borderId="20" xfId="632" applyNumberFormat="1" applyFont="1" applyFill="1" applyBorder="1" applyAlignment="1">
      <alignment vertical="center"/>
    </xf>
    <xf numFmtId="167" fontId="2" fillId="30" borderId="20" xfId="632" applyNumberFormat="1" applyFont="1" applyFill="1" applyBorder="1" applyAlignment="1">
      <alignment vertical="center"/>
    </xf>
    <xf numFmtId="9" fontId="5" fillId="30" borderId="21" xfId="838" applyNumberFormat="1" applyFont="1" applyFill="1" applyBorder="1" applyAlignment="1">
      <alignment vertical="center"/>
    </xf>
    <xf numFmtId="0" fontId="69" fillId="29" borderId="20" xfId="600" applyFont="1" applyFill="1" applyBorder="1" applyAlignment="1" applyProtection="1">
      <alignment horizontal="left" vertical="center"/>
    </xf>
    <xf numFmtId="0" fontId="5" fillId="28" borderId="18" xfId="0" applyFont="1" applyFill="1" applyBorder="1" applyAlignment="1">
      <alignment horizontal="right" vertical="center" wrapText="1"/>
    </xf>
    <xf numFmtId="9" fontId="5" fillId="28" borderId="25" xfId="838" applyNumberFormat="1" applyFont="1" applyFill="1" applyBorder="1" applyAlignment="1">
      <alignment horizontal="right" vertical="center" wrapText="1"/>
    </xf>
    <xf numFmtId="9" fontId="5" fillId="28" borderId="23" xfId="838" applyNumberFormat="1" applyFont="1" applyFill="1" applyBorder="1" applyAlignment="1">
      <alignment horizontal="right" vertical="center" wrapText="1"/>
    </xf>
    <xf numFmtId="0" fontId="80" fillId="28" borderId="0" xfId="1017" applyFont="1" applyFill="1"/>
    <xf numFmtId="3" fontId="80" fillId="28" borderId="0" xfId="1017" applyNumberFormat="1" applyFont="1" applyFill="1"/>
    <xf numFmtId="9" fontId="5" fillId="28" borderId="0" xfId="838" applyFont="1" applyFill="1" applyAlignment="1">
      <alignment vertical="center"/>
    </xf>
    <xf numFmtId="0" fontId="5" fillId="28" borderId="18" xfId="0" applyFont="1" applyFill="1" applyBorder="1" applyAlignment="1">
      <alignment horizontal="right" vertical="center" wrapText="1"/>
    </xf>
    <xf numFmtId="0" fontId="81" fillId="28" borderId="0" xfId="0" applyFont="1" applyFill="1"/>
    <xf numFmtId="1" fontId="81" fillId="28" borderId="0" xfId="0" applyNumberFormat="1" applyFont="1" applyFill="1"/>
    <xf numFmtId="9" fontId="81" fillId="28" borderId="0" xfId="838" applyFont="1" applyFill="1"/>
    <xf numFmtId="9" fontId="80" fillId="28" borderId="0" xfId="838" applyFont="1" applyFill="1"/>
    <xf numFmtId="9" fontId="80" fillId="30" borderId="0" xfId="838" applyFont="1" applyFill="1" applyBorder="1"/>
    <xf numFmtId="0" fontId="82" fillId="28" borderId="0" xfId="0" applyFont="1" applyFill="1" applyAlignment="1">
      <alignment vertical="center"/>
    </xf>
    <xf numFmtId="0" fontId="80" fillId="30" borderId="0" xfId="1017" applyFont="1" applyFill="1"/>
    <xf numFmtId="9" fontId="80" fillId="30" borderId="0" xfId="838" applyFont="1" applyFill="1"/>
    <xf numFmtId="0" fontId="83" fillId="28" borderId="0" xfId="1017" applyFont="1" applyFill="1"/>
    <xf numFmtId="0" fontId="83" fillId="28" borderId="0" xfId="1017" applyFont="1" applyFill="1" applyBorder="1"/>
    <xf numFmtId="0" fontId="80" fillId="28" borderId="0" xfId="0" applyFont="1" applyFill="1"/>
    <xf numFmtId="167" fontId="80" fillId="28" borderId="0" xfId="0" applyNumberFormat="1" applyFont="1" applyFill="1"/>
    <xf numFmtId="167" fontId="2" fillId="28" borderId="0" xfId="838" applyNumberFormat="1" applyFont="1" applyFill="1"/>
    <xf numFmtId="0" fontId="84" fillId="28" borderId="0" xfId="0" applyFont="1" applyFill="1"/>
    <xf numFmtId="1" fontId="84" fillId="28" borderId="0" xfId="0" applyNumberFormat="1" applyFont="1" applyFill="1"/>
    <xf numFmtId="9" fontId="84" fillId="28" borderId="0" xfId="838" applyFont="1" applyFill="1"/>
    <xf numFmtId="0" fontId="84" fillId="28" borderId="0" xfId="1017" applyFont="1" applyFill="1"/>
    <xf numFmtId="0" fontId="85" fillId="28" borderId="0" xfId="1017" applyFont="1" applyFill="1" applyAlignment="1">
      <alignment vertical="center"/>
    </xf>
    <xf numFmtId="0" fontId="85" fillId="28" borderId="0" xfId="0" applyFont="1" applyFill="1" applyBorder="1" applyAlignment="1">
      <alignment horizontal="right" vertical="center" wrapText="1"/>
    </xf>
    <xf numFmtId="0" fontId="85" fillId="28" borderId="18" xfId="0" applyFont="1" applyFill="1" applyBorder="1" applyAlignment="1">
      <alignment horizontal="right" vertical="center" wrapText="1"/>
    </xf>
    <xf numFmtId="0" fontId="84" fillId="28" borderId="0" xfId="1017" applyFont="1" applyFill="1" applyBorder="1"/>
    <xf numFmtId="0" fontId="84" fillId="28" borderId="0" xfId="1017" applyFont="1" applyFill="1" applyAlignment="1">
      <alignment vertical="center"/>
    </xf>
    <xf numFmtId="0" fontId="85" fillId="28" borderId="23" xfId="0" applyFont="1" applyFill="1" applyBorder="1" applyAlignment="1">
      <alignment horizontal="right" vertical="center" wrapText="1"/>
    </xf>
    <xf numFmtId="3" fontId="85" fillId="28" borderId="23" xfId="0" applyNumberFormat="1" applyFont="1" applyFill="1" applyBorder="1" applyAlignment="1">
      <alignment horizontal="right" vertical="center" wrapText="1"/>
    </xf>
    <xf numFmtId="9" fontId="85" fillId="28" borderId="23" xfId="838" applyFont="1" applyFill="1" applyBorder="1" applyAlignment="1">
      <alignment horizontal="right" vertical="center" wrapText="1"/>
    </xf>
    <xf numFmtId="3" fontId="84" fillId="28" borderId="0" xfId="1017" applyNumberFormat="1" applyFont="1" applyFill="1" applyBorder="1" applyAlignment="1">
      <alignment vertical="center"/>
    </xf>
    <xf numFmtId="0" fontId="84" fillId="28" borderId="0" xfId="1017" applyFont="1" applyFill="1" applyBorder="1" applyAlignment="1">
      <alignment vertical="center"/>
    </xf>
    <xf numFmtId="9" fontId="84" fillId="28" borderId="0" xfId="838" applyFont="1" applyFill="1" applyBorder="1" applyAlignment="1">
      <alignment vertical="center"/>
    </xf>
    <xf numFmtId="3" fontId="84" fillId="28" borderId="0" xfId="1017" applyNumberFormat="1" applyFont="1" applyFill="1" applyAlignment="1">
      <alignment vertical="center"/>
    </xf>
    <xf numFmtId="9" fontId="84" fillId="28" borderId="0" xfId="838" applyFont="1" applyFill="1" applyAlignment="1">
      <alignment vertical="center"/>
    </xf>
    <xf numFmtId="1" fontId="84" fillId="28" borderId="26" xfId="1017" applyNumberFormat="1" applyFont="1" applyFill="1" applyBorder="1" applyAlignment="1">
      <alignment vertical="center"/>
    </xf>
    <xf numFmtId="9" fontId="84" fillId="28" borderId="26" xfId="838" applyFont="1" applyFill="1" applyBorder="1" applyAlignment="1">
      <alignment vertical="center"/>
    </xf>
    <xf numFmtId="0" fontId="88" fillId="30" borderId="0" xfId="0" applyFont="1" applyFill="1" applyBorder="1"/>
    <xf numFmtId="0" fontId="84" fillId="30" borderId="0" xfId="1017" applyFont="1" applyFill="1" applyBorder="1"/>
    <xf numFmtId="3" fontId="80" fillId="30" borderId="0" xfId="1017" applyNumberFormat="1" applyFont="1" applyFill="1"/>
    <xf numFmtId="9" fontId="80" fillId="30" borderId="0" xfId="838" applyNumberFormat="1" applyFont="1" applyFill="1"/>
    <xf numFmtId="1" fontId="80" fillId="28" borderId="0" xfId="0" applyNumberFormat="1" applyFont="1" applyFill="1"/>
    <xf numFmtId="189" fontId="80" fillId="28" borderId="0" xfId="0" applyNumberFormat="1" applyFont="1" applyFill="1"/>
    <xf numFmtId="189" fontId="7" fillId="28" borderId="0" xfId="0" applyNumberFormat="1" applyFont="1" applyFill="1"/>
    <xf numFmtId="0" fontId="2" fillId="30" borderId="0" xfId="1017" applyFont="1" applyFill="1"/>
    <xf numFmtId="1" fontId="2" fillId="28" borderId="0" xfId="0" applyNumberFormat="1" applyFont="1" applyFill="1"/>
    <xf numFmtId="189" fontId="88" fillId="30" borderId="0" xfId="1017" applyNumberFormat="1" applyFont="1" applyFill="1" applyBorder="1"/>
    <xf numFmtId="167" fontId="80" fillId="30" borderId="0" xfId="0" applyNumberFormat="1" applyFont="1" applyFill="1"/>
    <xf numFmtId="0" fontId="80" fillId="30" borderId="0" xfId="0" applyFont="1" applyFill="1"/>
    <xf numFmtId="43" fontId="80" fillId="30" borderId="0" xfId="632" applyFont="1" applyFill="1"/>
    <xf numFmtId="43" fontId="80" fillId="30" borderId="0" xfId="838" applyNumberFormat="1" applyFont="1" applyFill="1"/>
    <xf numFmtId="164" fontId="80" fillId="30" borderId="0" xfId="0" applyNumberFormat="1" applyFont="1" applyFill="1"/>
    <xf numFmtId="9" fontId="2" fillId="31" borderId="21" xfId="838" applyNumberFormat="1" applyFont="1" applyFill="1" applyBorder="1" applyAlignment="1">
      <alignment vertical="center"/>
    </xf>
    <xf numFmtId="9" fontId="11" fillId="30" borderId="0" xfId="838" applyFont="1" applyFill="1"/>
    <xf numFmtId="0" fontId="2" fillId="30" borderId="0" xfId="0" applyFont="1" applyFill="1"/>
    <xf numFmtId="167" fontId="11" fillId="30" borderId="0" xfId="0" applyNumberFormat="1" applyFont="1" applyFill="1"/>
    <xf numFmtId="167" fontId="2" fillId="28" borderId="20" xfId="632" applyNumberFormat="1" applyFont="1" applyFill="1" applyBorder="1" applyAlignment="1">
      <alignment horizontal="right" vertical="center"/>
    </xf>
    <xf numFmtId="169" fontId="80" fillId="30" borderId="0" xfId="838" applyNumberFormat="1" applyFont="1" applyFill="1"/>
    <xf numFmtId="3" fontId="2" fillId="28" borderId="26" xfId="1017" applyNumberFormat="1" applyFont="1" applyFill="1" applyBorder="1" applyAlignment="1">
      <alignment vertical="center"/>
    </xf>
    <xf numFmtId="0" fontId="5" fillId="28" borderId="18" xfId="0" applyFont="1" applyFill="1" applyBorder="1" applyAlignment="1">
      <alignment horizontal="right" vertical="center" wrapText="1"/>
    </xf>
    <xf numFmtId="9" fontId="83" fillId="30" borderId="0" xfId="838" applyNumberFormat="1" applyFont="1" applyFill="1"/>
    <xf numFmtId="0" fontId="5" fillId="28" borderId="18" xfId="0" applyFont="1" applyFill="1" applyBorder="1" applyAlignment="1">
      <alignment horizontal="right" vertical="center" wrapText="1"/>
    </xf>
    <xf numFmtId="3" fontId="2" fillId="30" borderId="20" xfId="632" applyNumberFormat="1" applyFont="1" applyFill="1" applyBorder="1" applyAlignment="1">
      <alignment vertical="center"/>
    </xf>
    <xf numFmtId="0" fontId="89" fillId="28" borderId="0" xfId="0" applyFont="1" applyFill="1"/>
    <xf numFmtId="167" fontId="7" fillId="30" borderId="0" xfId="0" applyNumberFormat="1" applyFont="1" applyFill="1"/>
    <xf numFmtId="9" fontId="7" fillId="31" borderId="0" xfId="838" applyFont="1" applyFill="1"/>
    <xf numFmtId="0" fontId="2" fillId="31" borderId="0" xfId="0" applyFont="1" applyFill="1"/>
    <xf numFmtId="9" fontId="7" fillId="31" borderId="0" xfId="838" applyNumberFormat="1" applyFont="1" applyFill="1"/>
    <xf numFmtId="167" fontId="11" fillId="31" borderId="0" xfId="838" applyNumberFormat="1" applyFont="1" applyFill="1"/>
    <xf numFmtId="167" fontId="7" fillId="31" borderId="0" xfId="0" applyNumberFormat="1" applyFont="1" applyFill="1"/>
    <xf numFmtId="0" fontId="7" fillId="31" borderId="0" xfId="0" applyFont="1" applyFill="1"/>
    <xf numFmtId="9" fontId="2" fillId="31" borderId="0" xfId="0" applyNumberFormat="1" applyFont="1" applyFill="1"/>
    <xf numFmtId="10" fontId="2" fillId="33" borderId="0" xfId="0" applyNumberFormat="1" applyFont="1" applyFill="1"/>
    <xf numFmtId="10" fontId="2" fillId="28" borderId="0" xfId="0" applyNumberFormat="1" applyFont="1" applyFill="1"/>
    <xf numFmtId="0" fontId="11" fillId="31" borderId="0" xfId="838" applyNumberFormat="1" applyFont="1" applyFill="1"/>
    <xf numFmtId="193" fontId="7" fillId="31" borderId="0" xfId="0" applyNumberFormat="1" applyFont="1" applyFill="1"/>
    <xf numFmtId="0" fontId="69" fillId="29" borderId="20" xfId="600" applyFont="1" applyFill="1" applyBorder="1" applyAlignment="1" applyProtection="1">
      <alignment horizontal="left" vertical="center"/>
    </xf>
    <xf numFmtId="0" fontId="5" fillId="28" borderId="18" xfId="0" applyFont="1" applyFill="1" applyBorder="1" applyAlignment="1">
      <alignment horizontal="right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left" vertical="center" indent="1"/>
    </xf>
    <xf numFmtId="0" fontId="5" fillId="28" borderId="0" xfId="0" applyFont="1" applyFill="1" applyBorder="1" applyAlignment="1">
      <alignment horizontal="left" vertical="center" indent="1"/>
    </xf>
    <xf numFmtId="0" fontId="5" fillId="28" borderId="24" xfId="0" applyFont="1" applyFill="1" applyBorder="1" applyAlignment="1">
      <alignment horizontal="left" vertical="center" indent="1"/>
    </xf>
    <xf numFmtId="0" fontId="5" fillId="28" borderId="21" xfId="0" applyFont="1" applyFill="1" applyBorder="1" applyAlignment="1">
      <alignment horizontal="left" vertical="center" indent="1"/>
    </xf>
    <xf numFmtId="0" fontId="5" fillId="28" borderId="22" xfId="0" applyFont="1" applyFill="1" applyBorder="1" applyAlignment="1">
      <alignment horizontal="left" vertical="center" indent="1"/>
    </xf>
    <xf numFmtId="0" fontId="5" fillId="28" borderId="22" xfId="0" applyFont="1" applyFill="1" applyBorder="1" applyAlignment="1">
      <alignment horizontal="left" vertical="center" wrapText="1" indent="1"/>
    </xf>
    <xf numFmtId="0" fontId="5" fillId="28" borderId="23" xfId="0" applyFont="1" applyFill="1" applyBorder="1" applyAlignment="1">
      <alignment horizontal="left" vertical="center" wrapText="1" indent="1"/>
    </xf>
    <xf numFmtId="0" fontId="5" fillId="28" borderId="0" xfId="0" applyFont="1" applyFill="1" applyBorder="1" applyAlignment="1">
      <alignment horizontal="left" vertical="center" wrapText="1" indent="1"/>
    </xf>
    <xf numFmtId="0" fontId="5" fillId="28" borderId="24" xfId="0" applyFont="1" applyFill="1" applyBorder="1" applyAlignment="1">
      <alignment horizontal="left" vertical="center" wrapText="1" indent="1"/>
    </xf>
    <xf numFmtId="0" fontId="5" fillId="28" borderId="25" xfId="0" applyFont="1" applyFill="1" applyBorder="1" applyAlignment="1">
      <alignment horizontal="left" vertical="center" indent="1"/>
    </xf>
  </cellXfs>
  <cellStyles count="1211">
    <cellStyle name="=C:\WINNT\SYSTEM32\COMMAND.COM" xfId="1" xr:uid="{00000000-0005-0000-0000-000000000000}"/>
    <cellStyle name="=C:\WINNT\SYSTEM32\COMMAND.COM 5" xfId="2" xr:uid="{00000000-0005-0000-0000-000001000000}"/>
    <cellStyle name="=C:\WINNT\SYSTEM32\COMMAND.COM_ANEXO_ACT_FIJO_DEPREC" xfId="3" xr:uid="{00000000-0005-0000-0000-000002000000}"/>
    <cellStyle name="20% - Énfasis1 10" xfId="4" xr:uid="{00000000-0005-0000-0000-000003000000}"/>
    <cellStyle name="20% - Énfasis1 11" xfId="5" xr:uid="{00000000-0005-0000-0000-000004000000}"/>
    <cellStyle name="20% - Énfasis1 12" xfId="6" xr:uid="{00000000-0005-0000-0000-000005000000}"/>
    <cellStyle name="20% - Énfasis1 13" xfId="7" xr:uid="{00000000-0005-0000-0000-000006000000}"/>
    <cellStyle name="20% - Énfasis1 14" xfId="8" xr:uid="{00000000-0005-0000-0000-000007000000}"/>
    <cellStyle name="20% - Énfasis1 15" xfId="9" xr:uid="{00000000-0005-0000-0000-000008000000}"/>
    <cellStyle name="20% - Énfasis1 16" xfId="10" xr:uid="{00000000-0005-0000-0000-000009000000}"/>
    <cellStyle name="20% - Énfasis1 17" xfId="11" xr:uid="{00000000-0005-0000-0000-00000A000000}"/>
    <cellStyle name="20% - Énfasis1 18" xfId="12" xr:uid="{00000000-0005-0000-0000-00000B000000}"/>
    <cellStyle name="20% - Énfasis1 19" xfId="13" xr:uid="{00000000-0005-0000-0000-00000C000000}"/>
    <cellStyle name="20% - Énfasis1 2" xfId="14" xr:uid="{00000000-0005-0000-0000-00000D000000}"/>
    <cellStyle name="20% - Énfasis1 3" xfId="15" xr:uid="{00000000-0005-0000-0000-00000E000000}"/>
    <cellStyle name="20% - Énfasis1 4" xfId="16" xr:uid="{00000000-0005-0000-0000-00000F000000}"/>
    <cellStyle name="20% - Énfasis1 5" xfId="17" xr:uid="{00000000-0005-0000-0000-000010000000}"/>
    <cellStyle name="20% - Énfasis1 6" xfId="18" xr:uid="{00000000-0005-0000-0000-000011000000}"/>
    <cellStyle name="20% - Énfasis1 7" xfId="19" xr:uid="{00000000-0005-0000-0000-000012000000}"/>
    <cellStyle name="20% - Énfasis1 8" xfId="20" xr:uid="{00000000-0005-0000-0000-000013000000}"/>
    <cellStyle name="20% - Énfasis1 9" xfId="21" xr:uid="{00000000-0005-0000-0000-000014000000}"/>
    <cellStyle name="20% - Énfasis2 10" xfId="22" xr:uid="{00000000-0005-0000-0000-000015000000}"/>
    <cellStyle name="20% - Énfasis2 11" xfId="23" xr:uid="{00000000-0005-0000-0000-000016000000}"/>
    <cellStyle name="20% - Énfasis2 12" xfId="24" xr:uid="{00000000-0005-0000-0000-000017000000}"/>
    <cellStyle name="20% - Énfasis2 13" xfId="25" xr:uid="{00000000-0005-0000-0000-000018000000}"/>
    <cellStyle name="20% - Énfasis2 14" xfId="26" xr:uid="{00000000-0005-0000-0000-000019000000}"/>
    <cellStyle name="20% - Énfasis2 15" xfId="27" xr:uid="{00000000-0005-0000-0000-00001A000000}"/>
    <cellStyle name="20% - Énfasis2 16" xfId="28" xr:uid="{00000000-0005-0000-0000-00001B000000}"/>
    <cellStyle name="20% - Énfasis2 17" xfId="29" xr:uid="{00000000-0005-0000-0000-00001C000000}"/>
    <cellStyle name="20% - Énfasis2 18" xfId="30" xr:uid="{00000000-0005-0000-0000-00001D000000}"/>
    <cellStyle name="20% - Énfasis2 19" xfId="31" xr:uid="{00000000-0005-0000-0000-00001E000000}"/>
    <cellStyle name="20% - Énfasis2 2" xfId="32" xr:uid="{00000000-0005-0000-0000-00001F000000}"/>
    <cellStyle name="20% - Énfasis2 3" xfId="33" xr:uid="{00000000-0005-0000-0000-000020000000}"/>
    <cellStyle name="20% - Énfasis2 4" xfId="34" xr:uid="{00000000-0005-0000-0000-000021000000}"/>
    <cellStyle name="20% - Énfasis2 5" xfId="35" xr:uid="{00000000-0005-0000-0000-000022000000}"/>
    <cellStyle name="20% - Énfasis2 6" xfId="36" xr:uid="{00000000-0005-0000-0000-000023000000}"/>
    <cellStyle name="20% - Énfasis2 7" xfId="37" xr:uid="{00000000-0005-0000-0000-000024000000}"/>
    <cellStyle name="20% - Énfasis2 8" xfId="38" xr:uid="{00000000-0005-0000-0000-000025000000}"/>
    <cellStyle name="20% - Énfasis2 9" xfId="39" xr:uid="{00000000-0005-0000-0000-000026000000}"/>
    <cellStyle name="20% - Énfasis3 10" xfId="40" xr:uid="{00000000-0005-0000-0000-000027000000}"/>
    <cellStyle name="20% - Énfasis3 11" xfId="41" xr:uid="{00000000-0005-0000-0000-000028000000}"/>
    <cellStyle name="20% - Énfasis3 12" xfId="42" xr:uid="{00000000-0005-0000-0000-000029000000}"/>
    <cellStyle name="20% - Énfasis3 13" xfId="43" xr:uid="{00000000-0005-0000-0000-00002A000000}"/>
    <cellStyle name="20% - Énfasis3 14" xfId="44" xr:uid="{00000000-0005-0000-0000-00002B000000}"/>
    <cellStyle name="20% - Énfasis3 15" xfId="45" xr:uid="{00000000-0005-0000-0000-00002C000000}"/>
    <cellStyle name="20% - Énfasis3 16" xfId="46" xr:uid="{00000000-0005-0000-0000-00002D000000}"/>
    <cellStyle name="20% - Énfasis3 17" xfId="47" xr:uid="{00000000-0005-0000-0000-00002E000000}"/>
    <cellStyle name="20% - Énfasis3 18" xfId="48" xr:uid="{00000000-0005-0000-0000-00002F000000}"/>
    <cellStyle name="20% - Énfasis3 19" xfId="49" xr:uid="{00000000-0005-0000-0000-000030000000}"/>
    <cellStyle name="20% - Énfasis3 2" xfId="50" xr:uid="{00000000-0005-0000-0000-000031000000}"/>
    <cellStyle name="20% - Énfasis3 3" xfId="51" xr:uid="{00000000-0005-0000-0000-000032000000}"/>
    <cellStyle name="20% - Énfasis3 4" xfId="52" xr:uid="{00000000-0005-0000-0000-000033000000}"/>
    <cellStyle name="20% - Énfasis3 5" xfId="53" xr:uid="{00000000-0005-0000-0000-000034000000}"/>
    <cellStyle name="20% - Énfasis3 6" xfId="54" xr:uid="{00000000-0005-0000-0000-000035000000}"/>
    <cellStyle name="20% - Énfasis3 7" xfId="55" xr:uid="{00000000-0005-0000-0000-000036000000}"/>
    <cellStyle name="20% - Énfasis3 8" xfId="56" xr:uid="{00000000-0005-0000-0000-000037000000}"/>
    <cellStyle name="20% - Énfasis3 9" xfId="57" xr:uid="{00000000-0005-0000-0000-000038000000}"/>
    <cellStyle name="20% - Énfasis4 10" xfId="58" xr:uid="{00000000-0005-0000-0000-000039000000}"/>
    <cellStyle name="20% - Énfasis4 11" xfId="59" xr:uid="{00000000-0005-0000-0000-00003A000000}"/>
    <cellStyle name="20% - Énfasis4 12" xfId="60" xr:uid="{00000000-0005-0000-0000-00003B000000}"/>
    <cellStyle name="20% - Énfasis4 13" xfId="61" xr:uid="{00000000-0005-0000-0000-00003C000000}"/>
    <cellStyle name="20% - Énfasis4 14" xfId="62" xr:uid="{00000000-0005-0000-0000-00003D000000}"/>
    <cellStyle name="20% - Énfasis4 15" xfId="63" xr:uid="{00000000-0005-0000-0000-00003E000000}"/>
    <cellStyle name="20% - Énfasis4 16" xfId="64" xr:uid="{00000000-0005-0000-0000-00003F000000}"/>
    <cellStyle name="20% - Énfasis4 17" xfId="65" xr:uid="{00000000-0005-0000-0000-000040000000}"/>
    <cellStyle name="20% - Énfasis4 18" xfId="66" xr:uid="{00000000-0005-0000-0000-000041000000}"/>
    <cellStyle name="20% - Énfasis4 19" xfId="67" xr:uid="{00000000-0005-0000-0000-000042000000}"/>
    <cellStyle name="20% - Énfasis4 2" xfId="68" xr:uid="{00000000-0005-0000-0000-000043000000}"/>
    <cellStyle name="20% - Énfasis4 3" xfId="69" xr:uid="{00000000-0005-0000-0000-000044000000}"/>
    <cellStyle name="20% - Énfasis4 4" xfId="70" xr:uid="{00000000-0005-0000-0000-000045000000}"/>
    <cellStyle name="20% - Énfasis4 5" xfId="71" xr:uid="{00000000-0005-0000-0000-000046000000}"/>
    <cellStyle name="20% - Énfasis4 6" xfId="72" xr:uid="{00000000-0005-0000-0000-000047000000}"/>
    <cellStyle name="20% - Énfasis4 7" xfId="73" xr:uid="{00000000-0005-0000-0000-000048000000}"/>
    <cellStyle name="20% - Énfasis4 8" xfId="74" xr:uid="{00000000-0005-0000-0000-000049000000}"/>
    <cellStyle name="20% - Énfasis4 9" xfId="75" xr:uid="{00000000-0005-0000-0000-00004A000000}"/>
    <cellStyle name="20% - Énfasis5 10" xfId="76" xr:uid="{00000000-0005-0000-0000-00004B000000}"/>
    <cellStyle name="20% - Énfasis5 11" xfId="77" xr:uid="{00000000-0005-0000-0000-00004C000000}"/>
    <cellStyle name="20% - Énfasis5 12" xfId="78" xr:uid="{00000000-0005-0000-0000-00004D000000}"/>
    <cellStyle name="20% - Énfasis5 13" xfId="79" xr:uid="{00000000-0005-0000-0000-00004E000000}"/>
    <cellStyle name="20% - Énfasis5 14" xfId="80" xr:uid="{00000000-0005-0000-0000-00004F000000}"/>
    <cellStyle name="20% - Énfasis5 15" xfId="81" xr:uid="{00000000-0005-0000-0000-000050000000}"/>
    <cellStyle name="20% - Énfasis5 16" xfId="82" xr:uid="{00000000-0005-0000-0000-000051000000}"/>
    <cellStyle name="20% - Énfasis5 17" xfId="83" xr:uid="{00000000-0005-0000-0000-000052000000}"/>
    <cellStyle name="20% - Énfasis5 18" xfId="84" xr:uid="{00000000-0005-0000-0000-000053000000}"/>
    <cellStyle name="20% - Énfasis5 19" xfId="85" xr:uid="{00000000-0005-0000-0000-000054000000}"/>
    <cellStyle name="20% - Énfasis5 2" xfId="86" xr:uid="{00000000-0005-0000-0000-000055000000}"/>
    <cellStyle name="20% - Énfasis5 3" xfId="87" xr:uid="{00000000-0005-0000-0000-000056000000}"/>
    <cellStyle name="20% - Énfasis5 4" xfId="88" xr:uid="{00000000-0005-0000-0000-000057000000}"/>
    <cellStyle name="20% - Énfasis5 5" xfId="89" xr:uid="{00000000-0005-0000-0000-000058000000}"/>
    <cellStyle name="20% - Énfasis5 6" xfId="90" xr:uid="{00000000-0005-0000-0000-000059000000}"/>
    <cellStyle name="20% - Énfasis5 7" xfId="91" xr:uid="{00000000-0005-0000-0000-00005A000000}"/>
    <cellStyle name="20% - Énfasis5 8" xfId="92" xr:uid="{00000000-0005-0000-0000-00005B000000}"/>
    <cellStyle name="20% - Énfasis5 9" xfId="93" xr:uid="{00000000-0005-0000-0000-00005C000000}"/>
    <cellStyle name="20% - Énfasis6 10" xfId="94" xr:uid="{00000000-0005-0000-0000-00005D000000}"/>
    <cellStyle name="20% - Énfasis6 11" xfId="95" xr:uid="{00000000-0005-0000-0000-00005E000000}"/>
    <cellStyle name="20% - Énfasis6 12" xfId="96" xr:uid="{00000000-0005-0000-0000-00005F000000}"/>
    <cellStyle name="20% - Énfasis6 13" xfId="97" xr:uid="{00000000-0005-0000-0000-000060000000}"/>
    <cellStyle name="20% - Énfasis6 14" xfId="98" xr:uid="{00000000-0005-0000-0000-000061000000}"/>
    <cellStyle name="20% - Énfasis6 15" xfId="99" xr:uid="{00000000-0005-0000-0000-000062000000}"/>
    <cellStyle name="20% - Énfasis6 16" xfId="100" xr:uid="{00000000-0005-0000-0000-000063000000}"/>
    <cellStyle name="20% - Énfasis6 17" xfId="101" xr:uid="{00000000-0005-0000-0000-000064000000}"/>
    <cellStyle name="20% - Énfasis6 18" xfId="102" xr:uid="{00000000-0005-0000-0000-000065000000}"/>
    <cellStyle name="20% - Énfasis6 19" xfId="103" xr:uid="{00000000-0005-0000-0000-000066000000}"/>
    <cellStyle name="20% - Énfasis6 2" xfId="104" xr:uid="{00000000-0005-0000-0000-000067000000}"/>
    <cellStyle name="20% - Énfasis6 3" xfId="105" xr:uid="{00000000-0005-0000-0000-000068000000}"/>
    <cellStyle name="20% - Énfasis6 4" xfId="106" xr:uid="{00000000-0005-0000-0000-000069000000}"/>
    <cellStyle name="20% - Énfasis6 5" xfId="107" xr:uid="{00000000-0005-0000-0000-00006A000000}"/>
    <cellStyle name="20% - Énfasis6 6" xfId="108" xr:uid="{00000000-0005-0000-0000-00006B000000}"/>
    <cellStyle name="20% - Énfasis6 7" xfId="109" xr:uid="{00000000-0005-0000-0000-00006C000000}"/>
    <cellStyle name="20% - Énfasis6 8" xfId="110" xr:uid="{00000000-0005-0000-0000-00006D000000}"/>
    <cellStyle name="20% - Énfasis6 9" xfId="111" xr:uid="{00000000-0005-0000-0000-00006E000000}"/>
    <cellStyle name="40% - Énfasis1 10" xfId="112" xr:uid="{00000000-0005-0000-0000-00006F000000}"/>
    <cellStyle name="40% - Énfasis1 11" xfId="113" xr:uid="{00000000-0005-0000-0000-000070000000}"/>
    <cellStyle name="40% - Énfasis1 12" xfId="114" xr:uid="{00000000-0005-0000-0000-000071000000}"/>
    <cellStyle name="40% - Énfasis1 13" xfId="115" xr:uid="{00000000-0005-0000-0000-000072000000}"/>
    <cellStyle name="40% - Énfasis1 14" xfId="116" xr:uid="{00000000-0005-0000-0000-000073000000}"/>
    <cellStyle name="40% - Énfasis1 15" xfId="117" xr:uid="{00000000-0005-0000-0000-000074000000}"/>
    <cellStyle name="40% - Énfasis1 16" xfId="118" xr:uid="{00000000-0005-0000-0000-000075000000}"/>
    <cellStyle name="40% - Énfasis1 17" xfId="119" xr:uid="{00000000-0005-0000-0000-000076000000}"/>
    <cellStyle name="40% - Énfasis1 18" xfId="120" xr:uid="{00000000-0005-0000-0000-000077000000}"/>
    <cellStyle name="40% - Énfasis1 19" xfId="121" xr:uid="{00000000-0005-0000-0000-000078000000}"/>
    <cellStyle name="40% - Énfasis1 2" xfId="122" xr:uid="{00000000-0005-0000-0000-000079000000}"/>
    <cellStyle name="40% - Énfasis1 3" xfId="123" xr:uid="{00000000-0005-0000-0000-00007A000000}"/>
    <cellStyle name="40% - Énfasis1 4" xfId="124" xr:uid="{00000000-0005-0000-0000-00007B000000}"/>
    <cellStyle name="40% - Énfasis1 5" xfId="125" xr:uid="{00000000-0005-0000-0000-00007C000000}"/>
    <cellStyle name="40% - Énfasis1 6" xfId="126" xr:uid="{00000000-0005-0000-0000-00007D000000}"/>
    <cellStyle name="40% - Énfasis1 7" xfId="127" xr:uid="{00000000-0005-0000-0000-00007E000000}"/>
    <cellStyle name="40% - Énfasis1 8" xfId="128" xr:uid="{00000000-0005-0000-0000-00007F000000}"/>
    <cellStyle name="40% - Énfasis1 9" xfId="129" xr:uid="{00000000-0005-0000-0000-000080000000}"/>
    <cellStyle name="40% - Énfasis2 10" xfId="130" xr:uid="{00000000-0005-0000-0000-000081000000}"/>
    <cellStyle name="40% - Énfasis2 11" xfId="131" xr:uid="{00000000-0005-0000-0000-000082000000}"/>
    <cellStyle name="40% - Énfasis2 12" xfId="132" xr:uid="{00000000-0005-0000-0000-000083000000}"/>
    <cellStyle name="40% - Énfasis2 13" xfId="133" xr:uid="{00000000-0005-0000-0000-000084000000}"/>
    <cellStyle name="40% - Énfasis2 14" xfId="134" xr:uid="{00000000-0005-0000-0000-000085000000}"/>
    <cellStyle name="40% - Énfasis2 15" xfId="135" xr:uid="{00000000-0005-0000-0000-000086000000}"/>
    <cellStyle name="40% - Énfasis2 16" xfId="136" xr:uid="{00000000-0005-0000-0000-000087000000}"/>
    <cellStyle name="40% - Énfasis2 17" xfId="137" xr:uid="{00000000-0005-0000-0000-000088000000}"/>
    <cellStyle name="40% - Énfasis2 18" xfId="138" xr:uid="{00000000-0005-0000-0000-000089000000}"/>
    <cellStyle name="40% - Énfasis2 19" xfId="139" xr:uid="{00000000-0005-0000-0000-00008A000000}"/>
    <cellStyle name="40% - Énfasis2 2" xfId="140" xr:uid="{00000000-0005-0000-0000-00008B000000}"/>
    <cellStyle name="40% - Énfasis2 3" xfId="141" xr:uid="{00000000-0005-0000-0000-00008C000000}"/>
    <cellStyle name="40% - Énfasis2 4" xfId="142" xr:uid="{00000000-0005-0000-0000-00008D000000}"/>
    <cellStyle name="40% - Énfasis2 5" xfId="143" xr:uid="{00000000-0005-0000-0000-00008E000000}"/>
    <cellStyle name="40% - Énfasis2 6" xfId="144" xr:uid="{00000000-0005-0000-0000-00008F000000}"/>
    <cellStyle name="40% - Énfasis2 7" xfId="145" xr:uid="{00000000-0005-0000-0000-000090000000}"/>
    <cellStyle name="40% - Énfasis2 8" xfId="146" xr:uid="{00000000-0005-0000-0000-000091000000}"/>
    <cellStyle name="40% - Énfasis2 9" xfId="147" xr:uid="{00000000-0005-0000-0000-000092000000}"/>
    <cellStyle name="40% - Énfasis3 10" xfId="148" xr:uid="{00000000-0005-0000-0000-000093000000}"/>
    <cellStyle name="40% - Énfasis3 11" xfId="149" xr:uid="{00000000-0005-0000-0000-000094000000}"/>
    <cellStyle name="40% - Énfasis3 12" xfId="150" xr:uid="{00000000-0005-0000-0000-000095000000}"/>
    <cellStyle name="40% - Énfasis3 13" xfId="151" xr:uid="{00000000-0005-0000-0000-000096000000}"/>
    <cellStyle name="40% - Énfasis3 14" xfId="152" xr:uid="{00000000-0005-0000-0000-000097000000}"/>
    <cellStyle name="40% - Énfasis3 15" xfId="153" xr:uid="{00000000-0005-0000-0000-000098000000}"/>
    <cellStyle name="40% - Énfasis3 16" xfId="154" xr:uid="{00000000-0005-0000-0000-000099000000}"/>
    <cellStyle name="40% - Énfasis3 17" xfId="155" xr:uid="{00000000-0005-0000-0000-00009A000000}"/>
    <cellStyle name="40% - Énfasis3 18" xfId="156" xr:uid="{00000000-0005-0000-0000-00009B000000}"/>
    <cellStyle name="40% - Énfasis3 19" xfId="157" xr:uid="{00000000-0005-0000-0000-00009C000000}"/>
    <cellStyle name="40% - Énfasis3 2" xfId="158" xr:uid="{00000000-0005-0000-0000-00009D000000}"/>
    <cellStyle name="40% - Énfasis3 3" xfId="159" xr:uid="{00000000-0005-0000-0000-00009E000000}"/>
    <cellStyle name="40% - Énfasis3 4" xfId="160" xr:uid="{00000000-0005-0000-0000-00009F000000}"/>
    <cellStyle name="40% - Énfasis3 5" xfId="161" xr:uid="{00000000-0005-0000-0000-0000A0000000}"/>
    <cellStyle name="40% - Énfasis3 6" xfId="162" xr:uid="{00000000-0005-0000-0000-0000A1000000}"/>
    <cellStyle name="40% - Énfasis3 7" xfId="163" xr:uid="{00000000-0005-0000-0000-0000A2000000}"/>
    <cellStyle name="40% - Énfasis3 8" xfId="164" xr:uid="{00000000-0005-0000-0000-0000A3000000}"/>
    <cellStyle name="40% - Énfasis3 9" xfId="165" xr:uid="{00000000-0005-0000-0000-0000A4000000}"/>
    <cellStyle name="40% - Énfasis4 10" xfId="166" xr:uid="{00000000-0005-0000-0000-0000A5000000}"/>
    <cellStyle name="40% - Énfasis4 11" xfId="167" xr:uid="{00000000-0005-0000-0000-0000A6000000}"/>
    <cellStyle name="40% - Énfasis4 12" xfId="168" xr:uid="{00000000-0005-0000-0000-0000A7000000}"/>
    <cellStyle name="40% - Énfasis4 13" xfId="169" xr:uid="{00000000-0005-0000-0000-0000A8000000}"/>
    <cellStyle name="40% - Énfasis4 14" xfId="170" xr:uid="{00000000-0005-0000-0000-0000A9000000}"/>
    <cellStyle name="40% - Énfasis4 15" xfId="171" xr:uid="{00000000-0005-0000-0000-0000AA000000}"/>
    <cellStyle name="40% - Énfasis4 16" xfId="172" xr:uid="{00000000-0005-0000-0000-0000AB000000}"/>
    <cellStyle name="40% - Énfasis4 17" xfId="173" xr:uid="{00000000-0005-0000-0000-0000AC000000}"/>
    <cellStyle name="40% - Énfasis4 18" xfId="174" xr:uid="{00000000-0005-0000-0000-0000AD000000}"/>
    <cellStyle name="40% - Énfasis4 19" xfId="175" xr:uid="{00000000-0005-0000-0000-0000AE000000}"/>
    <cellStyle name="40% - Énfasis4 2" xfId="176" xr:uid="{00000000-0005-0000-0000-0000AF000000}"/>
    <cellStyle name="40% - Énfasis4 3" xfId="177" xr:uid="{00000000-0005-0000-0000-0000B0000000}"/>
    <cellStyle name="40% - Énfasis4 4" xfId="178" xr:uid="{00000000-0005-0000-0000-0000B1000000}"/>
    <cellStyle name="40% - Énfasis4 5" xfId="179" xr:uid="{00000000-0005-0000-0000-0000B2000000}"/>
    <cellStyle name="40% - Énfasis4 6" xfId="180" xr:uid="{00000000-0005-0000-0000-0000B3000000}"/>
    <cellStyle name="40% - Énfasis4 7" xfId="181" xr:uid="{00000000-0005-0000-0000-0000B4000000}"/>
    <cellStyle name="40% - Énfasis4 8" xfId="182" xr:uid="{00000000-0005-0000-0000-0000B5000000}"/>
    <cellStyle name="40% - Énfasis4 9" xfId="183" xr:uid="{00000000-0005-0000-0000-0000B6000000}"/>
    <cellStyle name="40% - Énfasis5 10" xfId="184" xr:uid="{00000000-0005-0000-0000-0000B7000000}"/>
    <cellStyle name="40% - Énfasis5 11" xfId="185" xr:uid="{00000000-0005-0000-0000-0000B8000000}"/>
    <cellStyle name="40% - Énfasis5 12" xfId="186" xr:uid="{00000000-0005-0000-0000-0000B9000000}"/>
    <cellStyle name="40% - Énfasis5 13" xfId="187" xr:uid="{00000000-0005-0000-0000-0000BA000000}"/>
    <cellStyle name="40% - Énfasis5 14" xfId="188" xr:uid="{00000000-0005-0000-0000-0000BB000000}"/>
    <cellStyle name="40% - Énfasis5 15" xfId="189" xr:uid="{00000000-0005-0000-0000-0000BC000000}"/>
    <cellStyle name="40% - Énfasis5 16" xfId="190" xr:uid="{00000000-0005-0000-0000-0000BD000000}"/>
    <cellStyle name="40% - Énfasis5 17" xfId="191" xr:uid="{00000000-0005-0000-0000-0000BE000000}"/>
    <cellStyle name="40% - Énfasis5 18" xfId="192" xr:uid="{00000000-0005-0000-0000-0000BF000000}"/>
    <cellStyle name="40% - Énfasis5 19" xfId="193" xr:uid="{00000000-0005-0000-0000-0000C0000000}"/>
    <cellStyle name="40% - Énfasis5 2" xfId="194" xr:uid="{00000000-0005-0000-0000-0000C1000000}"/>
    <cellStyle name="40% - Énfasis5 3" xfId="195" xr:uid="{00000000-0005-0000-0000-0000C2000000}"/>
    <cellStyle name="40% - Énfasis5 4" xfId="196" xr:uid="{00000000-0005-0000-0000-0000C3000000}"/>
    <cellStyle name="40% - Énfasis5 5" xfId="197" xr:uid="{00000000-0005-0000-0000-0000C4000000}"/>
    <cellStyle name="40% - Énfasis5 6" xfId="198" xr:uid="{00000000-0005-0000-0000-0000C5000000}"/>
    <cellStyle name="40% - Énfasis5 7" xfId="199" xr:uid="{00000000-0005-0000-0000-0000C6000000}"/>
    <cellStyle name="40% - Énfasis5 8" xfId="200" xr:uid="{00000000-0005-0000-0000-0000C7000000}"/>
    <cellStyle name="40% - Énfasis5 9" xfId="201" xr:uid="{00000000-0005-0000-0000-0000C8000000}"/>
    <cellStyle name="40% - Énfasis6 10" xfId="202" xr:uid="{00000000-0005-0000-0000-0000C9000000}"/>
    <cellStyle name="40% - Énfasis6 11" xfId="203" xr:uid="{00000000-0005-0000-0000-0000CA000000}"/>
    <cellStyle name="40% - Énfasis6 12" xfId="204" xr:uid="{00000000-0005-0000-0000-0000CB000000}"/>
    <cellStyle name="40% - Énfasis6 13" xfId="205" xr:uid="{00000000-0005-0000-0000-0000CC000000}"/>
    <cellStyle name="40% - Énfasis6 14" xfId="206" xr:uid="{00000000-0005-0000-0000-0000CD000000}"/>
    <cellStyle name="40% - Énfasis6 15" xfId="207" xr:uid="{00000000-0005-0000-0000-0000CE000000}"/>
    <cellStyle name="40% - Énfasis6 16" xfId="208" xr:uid="{00000000-0005-0000-0000-0000CF000000}"/>
    <cellStyle name="40% - Énfasis6 17" xfId="209" xr:uid="{00000000-0005-0000-0000-0000D0000000}"/>
    <cellStyle name="40% - Énfasis6 18" xfId="210" xr:uid="{00000000-0005-0000-0000-0000D1000000}"/>
    <cellStyle name="40% - Énfasis6 19" xfId="211" xr:uid="{00000000-0005-0000-0000-0000D2000000}"/>
    <cellStyle name="40% - Énfasis6 2" xfId="212" xr:uid="{00000000-0005-0000-0000-0000D3000000}"/>
    <cellStyle name="40% - Énfasis6 3" xfId="213" xr:uid="{00000000-0005-0000-0000-0000D4000000}"/>
    <cellStyle name="40% - Énfasis6 4" xfId="214" xr:uid="{00000000-0005-0000-0000-0000D5000000}"/>
    <cellStyle name="40% - Énfasis6 5" xfId="215" xr:uid="{00000000-0005-0000-0000-0000D6000000}"/>
    <cellStyle name="40% - Énfasis6 6" xfId="216" xr:uid="{00000000-0005-0000-0000-0000D7000000}"/>
    <cellStyle name="40% - Énfasis6 7" xfId="217" xr:uid="{00000000-0005-0000-0000-0000D8000000}"/>
    <cellStyle name="40% - Énfasis6 8" xfId="218" xr:uid="{00000000-0005-0000-0000-0000D9000000}"/>
    <cellStyle name="40% - Énfasis6 9" xfId="219" xr:uid="{00000000-0005-0000-0000-0000DA000000}"/>
    <cellStyle name="60% - Énfasis1 10" xfId="220" xr:uid="{00000000-0005-0000-0000-0000DB000000}"/>
    <cellStyle name="60% - Énfasis1 11" xfId="221" xr:uid="{00000000-0005-0000-0000-0000DC000000}"/>
    <cellStyle name="60% - Énfasis1 12" xfId="222" xr:uid="{00000000-0005-0000-0000-0000DD000000}"/>
    <cellStyle name="60% - Énfasis1 13" xfId="223" xr:uid="{00000000-0005-0000-0000-0000DE000000}"/>
    <cellStyle name="60% - Énfasis1 14" xfId="224" xr:uid="{00000000-0005-0000-0000-0000DF000000}"/>
    <cellStyle name="60% - Énfasis1 15" xfId="225" xr:uid="{00000000-0005-0000-0000-0000E0000000}"/>
    <cellStyle name="60% - Énfasis1 16" xfId="226" xr:uid="{00000000-0005-0000-0000-0000E1000000}"/>
    <cellStyle name="60% - Énfasis1 17" xfId="227" xr:uid="{00000000-0005-0000-0000-0000E2000000}"/>
    <cellStyle name="60% - Énfasis1 18" xfId="228" xr:uid="{00000000-0005-0000-0000-0000E3000000}"/>
    <cellStyle name="60% - Énfasis1 19" xfId="229" xr:uid="{00000000-0005-0000-0000-0000E4000000}"/>
    <cellStyle name="60% - Énfasis1 2" xfId="230" xr:uid="{00000000-0005-0000-0000-0000E5000000}"/>
    <cellStyle name="60% - Énfasis1 3" xfId="231" xr:uid="{00000000-0005-0000-0000-0000E6000000}"/>
    <cellStyle name="60% - Énfasis1 4" xfId="232" xr:uid="{00000000-0005-0000-0000-0000E7000000}"/>
    <cellStyle name="60% - Énfasis1 5" xfId="233" xr:uid="{00000000-0005-0000-0000-0000E8000000}"/>
    <cellStyle name="60% - Énfasis1 6" xfId="234" xr:uid="{00000000-0005-0000-0000-0000E9000000}"/>
    <cellStyle name="60% - Énfasis1 7" xfId="235" xr:uid="{00000000-0005-0000-0000-0000EA000000}"/>
    <cellStyle name="60% - Énfasis1 8" xfId="236" xr:uid="{00000000-0005-0000-0000-0000EB000000}"/>
    <cellStyle name="60% - Énfasis1 9" xfId="237" xr:uid="{00000000-0005-0000-0000-0000EC000000}"/>
    <cellStyle name="60% - Énfasis2 10" xfId="238" xr:uid="{00000000-0005-0000-0000-0000ED000000}"/>
    <cellStyle name="60% - Énfasis2 11" xfId="239" xr:uid="{00000000-0005-0000-0000-0000EE000000}"/>
    <cellStyle name="60% - Énfasis2 12" xfId="240" xr:uid="{00000000-0005-0000-0000-0000EF000000}"/>
    <cellStyle name="60% - Énfasis2 13" xfId="241" xr:uid="{00000000-0005-0000-0000-0000F0000000}"/>
    <cellStyle name="60% - Énfasis2 14" xfId="242" xr:uid="{00000000-0005-0000-0000-0000F1000000}"/>
    <cellStyle name="60% - Énfasis2 15" xfId="243" xr:uid="{00000000-0005-0000-0000-0000F2000000}"/>
    <cellStyle name="60% - Énfasis2 16" xfId="244" xr:uid="{00000000-0005-0000-0000-0000F3000000}"/>
    <cellStyle name="60% - Énfasis2 17" xfId="245" xr:uid="{00000000-0005-0000-0000-0000F4000000}"/>
    <cellStyle name="60% - Énfasis2 18" xfId="246" xr:uid="{00000000-0005-0000-0000-0000F5000000}"/>
    <cellStyle name="60% - Énfasis2 19" xfId="247" xr:uid="{00000000-0005-0000-0000-0000F6000000}"/>
    <cellStyle name="60% - Énfasis2 2" xfId="248" xr:uid="{00000000-0005-0000-0000-0000F7000000}"/>
    <cellStyle name="60% - Énfasis2 3" xfId="249" xr:uid="{00000000-0005-0000-0000-0000F8000000}"/>
    <cellStyle name="60% - Énfasis2 4" xfId="250" xr:uid="{00000000-0005-0000-0000-0000F9000000}"/>
    <cellStyle name="60% - Énfasis2 5" xfId="251" xr:uid="{00000000-0005-0000-0000-0000FA000000}"/>
    <cellStyle name="60% - Énfasis2 6" xfId="252" xr:uid="{00000000-0005-0000-0000-0000FB000000}"/>
    <cellStyle name="60% - Énfasis2 7" xfId="253" xr:uid="{00000000-0005-0000-0000-0000FC000000}"/>
    <cellStyle name="60% - Énfasis2 8" xfId="254" xr:uid="{00000000-0005-0000-0000-0000FD000000}"/>
    <cellStyle name="60% - Énfasis2 9" xfId="255" xr:uid="{00000000-0005-0000-0000-0000FE000000}"/>
    <cellStyle name="60% - Énfasis3 10" xfId="256" xr:uid="{00000000-0005-0000-0000-0000FF000000}"/>
    <cellStyle name="60% - Énfasis3 11" xfId="257" xr:uid="{00000000-0005-0000-0000-000000010000}"/>
    <cellStyle name="60% - Énfasis3 12" xfId="258" xr:uid="{00000000-0005-0000-0000-000001010000}"/>
    <cellStyle name="60% - Énfasis3 13" xfId="259" xr:uid="{00000000-0005-0000-0000-000002010000}"/>
    <cellStyle name="60% - Énfasis3 14" xfId="260" xr:uid="{00000000-0005-0000-0000-000003010000}"/>
    <cellStyle name="60% - Énfasis3 15" xfId="261" xr:uid="{00000000-0005-0000-0000-000004010000}"/>
    <cellStyle name="60% - Énfasis3 16" xfId="262" xr:uid="{00000000-0005-0000-0000-000005010000}"/>
    <cellStyle name="60% - Énfasis3 17" xfId="263" xr:uid="{00000000-0005-0000-0000-000006010000}"/>
    <cellStyle name="60% - Énfasis3 18" xfId="264" xr:uid="{00000000-0005-0000-0000-000007010000}"/>
    <cellStyle name="60% - Énfasis3 19" xfId="265" xr:uid="{00000000-0005-0000-0000-000008010000}"/>
    <cellStyle name="60% - Énfasis3 2" xfId="266" xr:uid="{00000000-0005-0000-0000-000009010000}"/>
    <cellStyle name="60% - Énfasis3 3" xfId="267" xr:uid="{00000000-0005-0000-0000-00000A010000}"/>
    <cellStyle name="60% - Énfasis3 4" xfId="268" xr:uid="{00000000-0005-0000-0000-00000B010000}"/>
    <cellStyle name="60% - Énfasis3 5" xfId="269" xr:uid="{00000000-0005-0000-0000-00000C010000}"/>
    <cellStyle name="60% - Énfasis3 6" xfId="270" xr:uid="{00000000-0005-0000-0000-00000D010000}"/>
    <cellStyle name="60% - Énfasis3 7" xfId="271" xr:uid="{00000000-0005-0000-0000-00000E010000}"/>
    <cellStyle name="60% - Énfasis3 8" xfId="272" xr:uid="{00000000-0005-0000-0000-00000F010000}"/>
    <cellStyle name="60% - Énfasis3 9" xfId="273" xr:uid="{00000000-0005-0000-0000-000010010000}"/>
    <cellStyle name="60% - Énfasis4 10" xfId="274" xr:uid="{00000000-0005-0000-0000-000011010000}"/>
    <cellStyle name="60% - Énfasis4 11" xfId="275" xr:uid="{00000000-0005-0000-0000-000012010000}"/>
    <cellStyle name="60% - Énfasis4 12" xfId="276" xr:uid="{00000000-0005-0000-0000-000013010000}"/>
    <cellStyle name="60% - Énfasis4 13" xfId="277" xr:uid="{00000000-0005-0000-0000-000014010000}"/>
    <cellStyle name="60% - Énfasis4 14" xfId="278" xr:uid="{00000000-0005-0000-0000-000015010000}"/>
    <cellStyle name="60% - Énfasis4 15" xfId="279" xr:uid="{00000000-0005-0000-0000-000016010000}"/>
    <cellStyle name="60% - Énfasis4 16" xfId="280" xr:uid="{00000000-0005-0000-0000-000017010000}"/>
    <cellStyle name="60% - Énfasis4 17" xfId="281" xr:uid="{00000000-0005-0000-0000-000018010000}"/>
    <cellStyle name="60% - Énfasis4 18" xfId="282" xr:uid="{00000000-0005-0000-0000-000019010000}"/>
    <cellStyle name="60% - Énfasis4 19" xfId="283" xr:uid="{00000000-0005-0000-0000-00001A010000}"/>
    <cellStyle name="60% - Énfasis4 2" xfId="284" xr:uid="{00000000-0005-0000-0000-00001B010000}"/>
    <cellStyle name="60% - Énfasis4 3" xfId="285" xr:uid="{00000000-0005-0000-0000-00001C010000}"/>
    <cellStyle name="60% - Énfasis4 4" xfId="286" xr:uid="{00000000-0005-0000-0000-00001D010000}"/>
    <cellStyle name="60% - Énfasis4 5" xfId="287" xr:uid="{00000000-0005-0000-0000-00001E010000}"/>
    <cellStyle name="60% - Énfasis4 6" xfId="288" xr:uid="{00000000-0005-0000-0000-00001F010000}"/>
    <cellStyle name="60% - Énfasis4 7" xfId="289" xr:uid="{00000000-0005-0000-0000-000020010000}"/>
    <cellStyle name="60% - Énfasis4 8" xfId="290" xr:uid="{00000000-0005-0000-0000-000021010000}"/>
    <cellStyle name="60% - Énfasis4 9" xfId="291" xr:uid="{00000000-0005-0000-0000-000022010000}"/>
    <cellStyle name="60% - Énfasis5 10" xfId="292" xr:uid="{00000000-0005-0000-0000-000023010000}"/>
    <cellStyle name="60% - Énfasis5 11" xfId="293" xr:uid="{00000000-0005-0000-0000-000024010000}"/>
    <cellStyle name="60% - Énfasis5 12" xfId="294" xr:uid="{00000000-0005-0000-0000-000025010000}"/>
    <cellStyle name="60% - Énfasis5 13" xfId="295" xr:uid="{00000000-0005-0000-0000-000026010000}"/>
    <cellStyle name="60% - Énfasis5 14" xfId="296" xr:uid="{00000000-0005-0000-0000-000027010000}"/>
    <cellStyle name="60% - Énfasis5 15" xfId="297" xr:uid="{00000000-0005-0000-0000-000028010000}"/>
    <cellStyle name="60% - Énfasis5 16" xfId="298" xr:uid="{00000000-0005-0000-0000-000029010000}"/>
    <cellStyle name="60% - Énfasis5 17" xfId="299" xr:uid="{00000000-0005-0000-0000-00002A010000}"/>
    <cellStyle name="60% - Énfasis5 18" xfId="300" xr:uid="{00000000-0005-0000-0000-00002B010000}"/>
    <cellStyle name="60% - Énfasis5 19" xfId="301" xr:uid="{00000000-0005-0000-0000-00002C010000}"/>
    <cellStyle name="60% - Énfasis5 2" xfId="302" xr:uid="{00000000-0005-0000-0000-00002D010000}"/>
    <cellStyle name="60% - Énfasis5 3" xfId="303" xr:uid="{00000000-0005-0000-0000-00002E010000}"/>
    <cellStyle name="60% - Énfasis5 4" xfId="304" xr:uid="{00000000-0005-0000-0000-00002F010000}"/>
    <cellStyle name="60% - Énfasis5 5" xfId="305" xr:uid="{00000000-0005-0000-0000-000030010000}"/>
    <cellStyle name="60% - Énfasis5 6" xfId="306" xr:uid="{00000000-0005-0000-0000-000031010000}"/>
    <cellStyle name="60% - Énfasis5 7" xfId="307" xr:uid="{00000000-0005-0000-0000-000032010000}"/>
    <cellStyle name="60% - Énfasis5 8" xfId="308" xr:uid="{00000000-0005-0000-0000-000033010000}"/>
    <cellStyle name="60% - Énfasis5 9" xfId="309" xr:uid="{00000000-0005-0000-0000-000034010000}"/>
    <cellStyle name="60% - Énfasis6 10" xfId="310" xr:uid="{00000000-0005-0000-0000-000035010000}"/>
    <cellStyle name="60% - Énfasis6 11" xfId="311" xr:uid="{00000000-0005-0000-0000-000036010000}"/>
    <cellStyle name="60% - Énfasis6 12" xfId="312" xr:uid="{00000000-0005-0000-0000-000037010000}"/>
    <cellStyle name="60% - Énfasis6 13" xfId="313" xr:uid="{00000000-0005-0000-0000-000038010000}"/>
    <cellStyle name="60% - Énfasis6 14" xfId="314" xr:uid="{00000000-0005-0000-0000-000039010000}"/>
    <cellStyle name="60% - Énfasis6 15" xfId="315" xr:uid="{00000000-0005-0000-0000-00003A010000}"/>
    <cellStyle name="60% - Énfasis6 16" xfId="316" xr:uid="{00000000-0005-0000-0000-00003B010000}"/>
    <cellStyle name="60% - Énfasis6 17" xfId="317" xr:uid="{00000000-0005-0000-0000-00003C010000}"/>
    <cellStyle name="60% - Énfasis6 18" xfId="318" xr:uid="{00000000-0005-0000-0000-00003D010000}"/>
    <cellStyle name="60% - Énfasis6 19" xfId="319" xr:uid="{00000000-0005-0000-0000-00003E010000}"/>
    <cellStyle name="60% - Énfasis6 2" xfId="320" xr:uid="{00000000-0005-0000-0000-00003F010000}"/>
    <cellStyle name="60% - Énfasis6 3" xfId="321" xr:uid="{00000000-0005-0000-0000-000040010000}"/>
    <cellStyle name="60% - Énfasis6 4" xfId="322" xr:uid="{00000000-0005-0000-0000-000041010000}"/>
    <cellStyle name="60% - Énfasis6 5" xfId="323" xr:uid="{00000000-0005-0000-0000-000042010000}"/>
    <cellStyle name="60% - Énfasis6 6" xfId="324" xr:uid="{00000000-0005-0000-0000-000043010000}"/>
    <cellStyle name="60% - Énfasis6 7" xfId="325" xr:uid="{00000000-0005-0000-0000-000044010000}"/>
    <cellStyle name="60% - Énfasis6 8" xfId="326" xr:uid="{00000000-0005-0000-0000-000045010000}"/>
    <cellStyle name="60% - Énfasis6 9" xfId="327" xr:uid="{00000000-0005-0000-0000-000046010000}"/>
    <cellStyle name="ac" xfId="328" xr:uid="{00000000-0005-0000-0000-000047010000}"/>
    <cellStyle name="arial12" xfId="329" xr:uid="{00000000-0005-0000-0000-000048010000}"/>
    <cellStyle name="arial14" xfId="330" xr:uid="{00000000-0005-0000-0000-000049010000}"/>
    <cellStyle name="Bold 11" xfId="331" xr:uid="{00000000-0005-0000-0000-00004A010000}"/>
    <cellStyle name="Buena 10" xfId="332" xr:uid="{00000000-0005-0000-0000-00004B010000}"/>
    <cellStyle name="Buena 11" xfId="333" xr:uid="{00000000-0005-0000-0000-00004C010000}"/>
    <cellStyle name="Buena 12" xfId="334" xr:uid="{00000000-0005-0000-0000-00004D010000}"/>
    <cellStyle name="Buena 13" xfId="335" xr:uid="{00000000-0005-0000-0000-00004E010000}"/>
    <cellStyle name="Buena 14" xfId="336" xr:uid="{00000000-0005-0000-0000-00004F010000}"/>
    <cellStyle name="Buena 15" xfId="337" xr:uid="{00000000-0005-0000-0000-000050010000}"/>
    <cellStyle name="Buena 16" xfId="338" xr:uid="{00000000-0005-0000-0000-000051010000}"/>
    <cellStyle name="Buena 17" xfId="339" xr:uid="{00000000-0005-0000-0000-000052010000}"/>
    <cellStyle name="Buena 18" xfId="340" xr:uid="{00000000-0005-0000-0000-000053010000}"/>
    <cellStyle name="Buena 19" xfId="341" xr:uid="{00000000-0005-0000-0000-000054010000}"/>
    <cellStyle name="Buena 2" xfId="342" xr:uid="{00000000-0005-0000-0000-000055010000}"/>
    <cellStyle name="Buena 3" xfId="343" xr:uid="{00000000-0005-0000-0000-000056010000}"/>
    <cellStyle name="Buena 4" xfId="344" xr:uid="{00000000-0005-0000-0000-000057010000}"/>
    <cellStyle name="Buena 5" xfId="345" xr:uid="{00000000-0005-0000-0000-000058010000}"/>
    <cellStyle name="Buena 6" xfId="346" xr:uid="{00000000-0005-0000-0000-000059010000}"/>
    <cellStyle name="Buena 7" xfId="347" xr:uid="{00000000-0005-0000-0000-00005A010000}"/>
    <cellStyle name="Buena 8" xfId="348" xr:uid="{00000000-0005-0000-0000-00005B010000}"/>
    <cellStyle name="Buena 9" xfId="349" xr:uid="{00000000-0005-0000-0000-00005C010000}"/>
    <cellStyle name="Cabecera 1" xfId="350" xr:uid="{00000000-0005-0000-0000-00005D010000}"/>
    <cellStyle name="Cabecera 2" xfId="351" xr:uid="{00000000-0005-0000-0000-00005E010000}"/>
    <cellStyle name="Cálculo 10" xfId="352" xr:uid="{00000000-0005-0000-0000-00005F010000}"/>
    <cellStyle name="Cálculo 11" xfId="353" xr:uid="{00000000-0005-0000-0000-000060010000}"/>
    <cellStyle name="Cálculo 12" xfId="354" xr:uid="{00000000-0005-0000-0000-000061010000}"/>
    <cellStyle name="Cálculo 13" xfId="355" xr:uid="{00000000-0005-0000-0000-000062010000}"/>
    <cellStyle name="Cálculo 14" xfId="356" xr:uid="{00000000-0005-0000-0000-000063010000}"/>
    <cellStyle name="Cálculo 15" xfId="357" xr:uid="{00000000-0005-0000-0000-000064010000}"/>
    <cellStyle name="Cálculo 16" xfId="358" xr:uid="{00000000-0005-0000-0000-000065010000}"/>
    <cellStyle name="Cálculo 17" xfId="359" xr:uid="{00000000-0005-0000-0000-000066010000}"/>
    <cellStyle name="Cálculo 18" xfId="360" xr:uid="{00000000-0005-0000-0000-000067010000}"/>
    <cellStyle name="Cálculo 19" xfId="361" xr:uid="{00000000-0005-0000-0000-000068010000}"/>
    <cellStyle name="Cálculo 2" xfId="362" xr:uid="{00000000-0005-0000-0000-000069010000}"/>
    <cellStyle name="Cálculo 3" xfId="363" xr:uid="{00000000-0005-0000-0000-00006A010000}"/>
    <cellStyle name="Cálculo 4" xfId="364" xr:uid="{00000000-0005-0000-0000-00006B010000}"/>
    <cellStyle name="Cálculo 5" xfId="365" xr:uid="{00000000-0005-0000-0000-00006C010000}"/>
    <cellStyle name="Cálculo 6" xfId="366" xr:uid="{00000000-0005-0000-0000-00006D010000}"/>
    <cellStyle name="Cálculo 7" xfId="367" xr:uid="{00000000-0005-0000-0000-00006E010000}"/>
    <cellStyle name="Cálculo 8" xfId="368" xr:uid="{00000000-0005-0000-0000-00006F010000}"/>
    <cellStyle name="Cálculo 9" xfId="369" xr:uid="{00000000-0005-0000-0000-000070010000}"/>
    <cellStyle name="Celda de comprobación 10" xfId="370" xr:uid="{00000000-0005-0000-0000-000071010000}"/>
    <cellStyle name="Celda de comprobación 11" xfId="371" xr:uid="{00000000-0005-0000-0000-000072010000}"/>
    <cellStyle name="Celda de comprobación 12" xfId="372" xr:uid="{00000000-0005-0000-0000-000073010000}"/>
    <cellStyle name="Celda de comprobación 13" xfId="373" xr:uid="{00000000-0005-0000-0000-000074010000}"/>
    <cellStyle name="Celda de comprobación 14" xfId="374" xr:uid="{00000000-0005-0000-0000-000075010000}"/>
    <cellStyle name="Celda de comprobación 15" xfId="375" xr:uid="{00000000-0005-0000-0000-000076010000}"/>
    <cellStyle name="Celda de comprobación 16" xfId="376" xr:uid="{00000000-0005-0000-0000-000077010000}"/>
    <cellStyle name="Celda de comprobación 17" xfId="377" xr:uid="{00000000-0005-0000-0000-000078010000}"/>
    <cellStyle name="Celda de comprobación 18" xfId="378" xr:uid="{00000000-0005-0000-0000-000079010000}"/>
    <cellStyle name="Celda de comprobación 19" xfId="379" xr:uid="{00000000-0005-0000-0000-00007A010000}"/>
    <cellStyle name="Celda de comprobación 2" xfId="380" xr:uid="{00000000-0005-0000-0000-00007B010000}"/>
    <cellStyle name="Celda de comprobación 3" xfId="381" xr:uid="{00000000-0005-0000-0000-00007C010000}"/>
    <cellStyle name="Celda de comprobación 4" xfId="382" xr:uid="{00000000-0005-0000-0000-00007D010000}"/>
    <cellStyle name="Celda de comprobación 5" xfId="383" xr:uid="{00000000-0005-0000-0000-00007E010000}"/>
    <cellStyle name="Celda de comprobación 6" xfId="384" xr:uid="{00000000-0005-0000-0000-00007F010000}"/>
    <cellStyle name="Celda de comprobación 7" xfId="385" xr:uid="{00000000-0005-0000-0000-000080010000}"/>
    <cellStyle name="Celda de comprobación 8" xfId="386" xr:uid="{00000000-0005-0000-0000-000081010000}"/>
    <cellStyle name="Celda de comprobación 9" xfId="387" xr:uid="{00000000-0005-0000-0000-000082010000}"/>
    <cellStyle name="Celda vinculada 10" xfId="388" xr:uid="{00000000-0005-0000-0000-000083010000}"/>
    <cellStyle name="Celda vinculada 11" xfId="389" xr:uid="{00000000-0005-0000-0000-000084010000}"/>
    <cellStyle name="Celda vinculada 12" xfId="390" xr:uid="{00000000-0005-0000-0000-000085010000}"/>
    <cellStyle name="Celda vinculada 13" xfId="391" xr:uid="{00000000-0005-0000-0000-000086010000}"/>
    <cellStyle name="Celda vinculada 14" xfId="392" xr:uid="{00000000-0005-0000-0000-000087010000}"/>
    <cellStyle name="Celda vinculada 15" xfId="393" xr:uid="{00000000-0005-0000-0000-000088010000}"/>
    <cellStyle name="Celda vinculada 16" xfId="394" xr:uid="{00000000-0005-0000-0000-000089010000}"/>
    <cellStyle name="Celda vinculada 17" xfId="395" xr:uid="{00000000-0005-0000-0000-00008A010000}"/>
    <cellStyle name="Celda vinculada 18" xfId="396" xr:uid="{00000000-0005-0000-0000-00008B010000}"/>
    <cellStyle name="Celda vinculada 19" xfId="397" xr:uid="{00000000-0005-0000-0000-00008C010000}"/>
    <cellStyle name="Celda vinculada 2" xfId="398" xr:uid="{00000000-0005-0000-0000-00008D010000}"/>
    <cellStyle name="Celda vinculada 3" xfId="399" xr:uid="{00000000-0005-0000-0000-00008E010000}"/>
    <cellStyle name="Celda vinculada 4" xfId="400" xr:uid="{00000000-0005-0000-0000-00008F010000}"/>
    <cellStyle name="Celda vinculada 5" xfId="401" xr:uid="{00000000-0005-0000-0000-000090010000}"/>
    <cellStyle name="Celda vinculada 6" xfId="402" xr:uid="{00000000-0005-0000-0000-000091010000}"/>
    <cellStyle name="Celda vinculada 7" xfId="403" xr:uid="{00000000-0005-0000-0000-000092010000}"/>
    <cellStyle name="Celda vinculada 8" xfId="404" xr:uid="{00000000-0005-0000-0000-000093010000}"/>
    <cellStyle name="Celda vinculada 9" xfId="405" xr:uid="{00000000-0005-0000-0000-000094010000}"/>
    <cellStyle name="Comma" xfId="632" builtinId="3"/>
    <cellStyle name="Currency (0)" xfId="406" xr:uid="{00000000-0005-0000-0000-000096010000}"/>
    <cellStyle name="Currency (0) 2" xfId="407" xr:uid="{00000000-0005-0000-0000-000097010000}"/>
    <cellStyle name="Currency (0) 2 2" xfId="1019" xr:uid="{00000000-0005-0000-0000-000098010000}"/>
    <cellStyle name="Currency (0) 3" xfId="408" xr:uid="{00000000-0005-0000-0000-000099010000}"/>
    <cellStyle name="Currency (0) 3 2" xfId="1020" xr:uid="{00000000-0005-0000-0000-00009A010000}"/>
    <cellStyle name="Currency (0) 4" xfId="409" xr:uid="{00000000-0005-0000-0000-00009B010000}"/>
    <cellStyle name="Currency (0) 4 2" xfId="1021" xr:uid="{00000000-0005-0000-0000-00009C010000}"/>
    <cellStyle name="Currency (2)" xfId="410" xr:uid="{00000000-0005-0000-0000-00009D010000}"/>
    <cellStyle name="Currency (2) 2" xfId="411" xr:uid="{00000000-0005-0000-0000-00009E010000}"/>
    <cellStyle name="Currency (2) 2 2" xfId="1022" xr:uid="{00000000-0005-0000-0000-00009F010000}"/>
    <cellStyle name="Currency (2) 3" xfId="412" xr:uid="{00000000-0005-0000-0000-0000A0010000}"/>
    <cellStyle name="Currency (2) 3 2" xfId="1023" xr:uid="{00000000-0005-0000-0000-0000A1010000}"/>
    <cellStyle name="Currency (2) 4" xfId="413" xr:uid="{00000000-0005-0000-0000-0000A2010000}"/>
    <cellStyle name="Currency (2) 4 2" xfId="1024" xr:uid="{00000000-0005-0000-0000-0000A3010000}"/>
    <cellStyle name="Date" xfId="414" xr:uid="{00000000-0005-0000-0000-0000A4010000}"/>
    <cellStyle name="Date 2" xfId="415" xr:uid="{00000000-0005-0000-0000-0000A5010000}"/>
    <cellStyle name="Date 2 2" xfId="1025" xr:uid="{00000000-0005-0000-0000-0000A6010000}"/>
    <cellStyle name="Date 3" xfId="416" xr:uid="{00000000-0005-0000-0000-0000A7010000}"/>
    <cellStyle name="Date 3 2" xfId="1026" xr:uid="{00000000-0005-0000-0000-0000A8010000}"/>
    <cellStyle name="Date 4" xfId="417" xr:uid="{00000000-0005-0000-0000-0000A9010000}"/>
    <cellStyle name="Date 4 2" xfId="1027" xr:uid="{00000000-0005-0000-0000-0000AA010000}"/>
    <cellStyle name="Date-Time" xfId="418" xr:uid="{00000000-0005-0000-0000-0000AB010000}"/>
    <cellStyle name="Date-Time 2" xfId="419" xr:uid="{00000000-0005-0000-0000-0000AC010000}"/>
    <cellStyle name="Date-Time 2 2" xfId="1029" xr:uid="{00000000-0005-0000-0000-0000AD010000}"/>
    <cellStyle name="Date-Time 3" xfId="420" xr:uid="{00000000-0005-0000-0000-0000AE010000}"/>
    <cellStyle name="Date-Time 3 2" xfId="1030" xr:uid="{00000000-0005-0000-0000-0000AF010000}"/>
    <cellStyle name="Date-Time 4" xfId="421" xr:uid="{00000000-0005-0000-0000-0000B0010000}"/>
    <cellStyle name="Date-Time 4 2" xfId="1031" xr:uid="{00000000-0005-0000-0000-0000B1010000}"/>
    <cellStyle name="Date-Time 5" xfId="1028" xr:uid="{00000000-0005-0000-0000-0000B2010000}"/>
    <cellStyle name="Decimal 1" xfId="422" xr:uid="{00000000-0005-0000-0000-0000B3010000}"/>
    <cellStyle name="Decimal 2" xfId="423" xr:uid="{00000000-0005-0000-0000-0000B4010000}"/>
    <cellStyle name="Decimal 3" xfId="424" xr:uid="{00000000-0005-0000-0000-0000B5010000}"/>
    <cellStyle name="Decimal 3 2" xfId="425" xr:uid="{00000000-0005-0000-0000-0000B6010000}"/>
    <cellStyle name="Decimal 3 2 2" xfId="1032" xr:uid="{00000000-0005-0000-0000-0000B7010000}"/>
    <cellStyle name="Decimal 3 3" xfId="426" xr:uid="{00000000-0005-0000-0000-0000B8010000}"/>
    <cellStyle name="Decimal 3 3 2" xfId="1033" xr:uid="{00000000-0005-0000-0000-0000B9010000}"/>
    <cellStyle name="Decimal 3 4" xfId="427" xr:uid="{00000000-0005-0000-0000-0000BA010000}"/>
    <cellStyle name="Decimal 3 4 2" xfId="1034" xr:uid="{00000000-0005-0000-0000-0000BB010000}"/>
    <cellStyle name="Encabezado 4 10" xfId="428" xr:uid="{00000000-0005-0000-0000-0000BC010000}"/>
    <cellStyle name="Encabezado 4 11" xfId="429" xr:uid="{00000000-0005-0000-0000-0000BD010000}"/>
    <cellStyle name="Encabezado 4 12" xfId="430" xr:uid="{00000000-0005-0000-0000-0000BE010000}"/>
    <cellStyle name="Encabezado 4 13" xfId="431" xr:uid="{00000000-0005-0000-0000-0000BF010000}"/>
    <cellStyle name="Encabezado 4 14" xfId="432" xr:uid="{00000000-0005-0000-0000-0000C0010000}"/>
    <cellStyle name="Encabezado 4 15" xfId="433" xr:uid="{00000000-0005-0000-0000-0000C1010000}"/>
    <cellStyle name="Encabezado 4 16" xfId="434" xr:uid="{00000000-0005-0000-0000-0000C2010000}"/>
    <cellStyle name="Encabezado 4 17" xfId="435" xr:uid="{00000000-0005-0000-0000-0000C3010000}"/>
    <cellStyle name="Encabezado 4 18" xfId="436" xr:uid="{00000000-0005-0000-0000-0000C4010000}"/>
    <cellStyle name="Encabezado 4 19" xfId="437" xr:uid="{00000000-0005-0000-0000-0000C5010000}"/>
    <cellStyle name="Encabezado 4 2" xfId="438" xr:uid="{00000000-0005-0000-0000-0000C6010000}"/>
    <cellStyle name="Encabezado 4 3" xfId="439" xr:uid="{00000000-0005-0000-0000-0000C7010000}"/>
    <cellStyle name="Encabezado 4 4" xfId="440" xr:uid="{00000000-0005-0000-0000-0000C8010000}"/>
    <cellStyle name="Encabezado 4 5" xfId="441" xr:uid="{00000000-0005-0000-0000-0000C9010000}"/>
    <cellStyle name="Encabezado 4 6" xfId="442" xr:uid="{00000000-0005-0000-0000-0000CA010000}"/>
    <cellStyle name="Encabezado 4 7" xfId="443" xr:uid="{00000000-0005-0000-0000-0000CB010000}"/>
    <cellStyle name="Encabezado 4 8" xfId="444" xr:uid="{00000000-0005-0000-0000-0000CC010000}"/>
    <cellStyle name="Encabezado 4 9" xfId="445" xr:uid="{00000000-0005-0000-0000-0000CD010000}"/>
    <cellStyle name="Énfasis1 10" xfId="446" xr:uid="{00000000-0005-0000-0000-0000CE010000}"/>
    <cellStyle name="Énfasis1 11" xfId="447" xr:uid="{00000000-0005-0000-0000-0000CF010000}"/>
    <cellStyle name="Énfasis1 12" xfId="448" xr:uid="{00000000-0005-0000-0000-0000D0010000}"/>
    <cellStyle name="Énfasis1 13" xfId="449" xr:uid="{00000000-0005-0000-0000-0000D1010000}"/>
    <cellStyle name="Énfasis1 14" xfId="450" xr:uid="{00000000-0005-0000-0000-0000D2010000}"/>
    <cellStyle name="Énfasis1 15" xfId="451" xr:uid="{00000000-0005-0000-0000-0000D3010000}"/>
    <cellStyle name="Énfasis1 16" xfId="452" xr:uid="{00000000-0005-0000-0000-0000D4010000}"/>
    <cellStyle name="Énfasis1 17" xfId="453" xr:uid="{00000000-0005-0000-0000-0000D5010000}"/>
    <cellStyle name="Énfasis1 18" xfId="454" xr:uid="{00000000-0005-0000-0000-0000D6010000}"/>
    <cellStyle name="Énfasis1 19" xfId="455" xr:uid="{00000000-0005-0000-0000-0000D7010000}"/>
    <cellStyle name="Énfasis1 2" xfId="456" xr:uid="{00000000-0005-0000-0000-0000D8010000}"/>
    <cellStyle name="Énfasis1 3" xfId="457" xr:uid="{00000000-0005-0000-0000-0000D9010000}"/>
    <cellStyle name="Énfasis1 4" xfId="458" xr:uid="{00000000-0005-0000-0000-0000DA010000}"/>
    <cellStyle name="Énfasis1 5" xfId="459" xr:uid="{00000000-0005-0000-0000-0000DB010000}"/>
    <cellStyle name="Énfasis1 6" xfId="460" xr:uid="{00000000-0005-0000-0000-0000DC010000}"/>
    <cellStyle name="Énfasis1 7" xfId="461" xr:uid="{00000000-0005-0000-0000-0000DD010000}"/>
    <cellStyle name="Énfasis1 8" xfId="462" xr:uid="{00000000-0005-0000-0000-0000DE010000}"/>
    <cellStyle name="Énfasis1 9" xfId="463" xr:uid="{00000000-0005-0000-0000-0000DF010000}"/>
    <cellStyle name="Énfasis2 10" xfId="464" xr:uid="{00000000-0005-0000-0000-0000E0010000}"/>
    <cellStyle name="Énfasis2 11" xfId="465" xr:uid="{00000000-0005-0000-0000-0000E1010000}"/>
    <cellStyle name="Énfasis2 12" xfId="466" xr:uid="{00000000-0005-0000-0000-0000E2010000}"/>
    <cellStyle name="Énfasis2 13" xfId="467" xr:uid="{00000000-0005-0000-0000-0000E3010000}"/>
    <cellStyle name="Énfasis2 14" xfId="468" xr:uid="{00000000-0005-0000-0000-0000E4010000}"/>
    <cellStyle name="Énfasis2 15" xfId="469" xr:uid="{00000000-0005-0000-0000-0000E5010000}"/>
    <cellStyle name="Énfasis2 16" xfId="470" xr:uid="{00000000-0005-0000-0000-0000E6010000}"/>
    <cellStyle name="Énfasis2 17" xfId="471" xr:uid="{00000000-0005-0000-0000-0000E7010000}"/>
    <cellStyle name="Énfasis2 18" xfId="472" xr:uid="{00000000-0005-0000-0000-0000E8010000}"/>
    <cellStyle name="Énfasis2 19" xfId="473" xr:uid="{00000000-0005-0000-0000-0000E9010000}"/>
    <cellStyle name="Énfasis2 2" xfId="474" xr:uid="{00000000-0005-0000-0000-0000EA010000}"/>
    <cellStyle name="Énfasis2 3" xfId="475" xr:uid="{00000000-0005-0000-0000-0000EB010000}"/>
    <cellStyle name="Énfasis2 4" xfId="476" xr:uid="{00000000-0005-0000-0000-0000EC010000}"/>
    <cellStyle name="Énfasis2 5" xfId="477" xr:uid="{00000000-0005-0000-0000-0000ED010000}"/>
    <cellStyle name="Énfasis2 6" xfId="478" xr:uid="{00000000-0005-0000-0000-0000EE010000}"/>
    <cellStyle name="Énfasis2 7" xfId="479" xr:uid="{00000000-0005-0000-0000-0000EF010000}"/>
    <cellStyle name="Énfasis2 8" xfId="480" xr:uid="{00000000-0005-0000-0000-0000F0010000}"/>
    <cellStyle name="Énfasis2 9" xfId="481" xr:uid="{00000000-0005-0000-0000-0000F1010000}"/>
    <cellStyle name="Énfasis3 10" xfId="482" xr:uid="{00000000-0005-0000-0000-0000F2010000}"/>
    <cellStyle name="Énfasis3 11" xfId="483" xr:uid="{00000000-0005-0000-0000-0000F3010000}"/>
    <cellStyle name="Énfasis3 12" xfId="484" xr:uid="{00000000-0005-0000-0000-0000F4010000}"/>
    <cellStyle name="Énfasis3 13" xfId="485" xr:uid="{00000000-0005-0000-0000-0000F5010000}"/>
    <cellStyle name="Énfasis3 14" xfId="486" xr:uid="{00000000-0005-0000-0000-0000F6010000}"/>
    <cellStyle name="Énfasis3 15" xfId="487" xr:uid="{00000000-0005-0000-0000-0000F7010000}"/>
    <cellStyle name="Énfasis3 16" xfId="488" xr:uid="{00000000-0005-0000-0000-0000F8010000}"/>
    <cellStyle name="Énfasis3 17" xfId="489" xr:uid="{00000000-0005-0000-0000-0000F9010000}"/>
    <cellStyle name="Énfasis3 18" xfId="490" xr:uid="{00000000-0005-0000-0000-0000FA010000}"/>
    <cellStyle name="Énfasis3 19" xfId="491" xr:uid="{00000000-0005-0000-0000-0000FB010000}"/>
    <cellStyle name="Énfasis3 2" xfId="492" xr:uid="{00000000-0005-0000-0000-0000FC010000}"/>
    <cellStyle name="Énfasis3 3" xfId="493" xr:uid="{00000000-0005-0000-0000-0000FD010000}"/>
    <cellStyle name="Énfasis3 4" xfId="494" xr:uid="{00000000-0005-0000-0000-0000FE010000}"/>
    <cellStyle name="Énfasis3 5" xfId="495" xr:uid="{00000000-0005-0000-0000-0000FF010000}"/>
    <cellStyle name="Énfasis3 6" xfId="496" xr:uid="{00000000-0005-0000-0000-000000020000}"/>
    <cellStyle name="Énfasis3 7" xfId="497" xr:uid="{00000000-0005-0000-0000-000001020000}"/>
    <cellStyle name="Énfasis3 8" xfId="498" xr:uid="{00000000-0005-0000-0000-000002020000}"/>
    <cellStyle name="Énfasis3 9" xfId="499" xr:uid="{00000000-0005-0000-0000-000003020000}"/>
    <cellStyle name="Énfasis4 10" xfId="500" xr:uid="{00000000-0005-0000-0000-000004020000}"/>
    <cellStyle name="Énfasis4 11" xfId="501" xr:uid="{00000000-0005-0000-0000-000005020000}"/>
    <cellStyle name="Énfasis4 12" xfId="502" xr:uid="{00000000-0005-0000-0000-000006020000}"/>
    <cellStyle name="Énfasis4 13" xfId="503" xr:uid="{00000000-0005-0000-0000-000007020000}"/>
    <cellStyle name="Énfasis4 14" xfId="504" xr:uid="{00000000-0005-0000-0000-000008020000}"/>
    <cellStyle name="Énfasis4 15" xfId="505" xr:uid="{00000000-0005-0000-0000-000009020000}"/>
    <cellStyle name="Énfasis4 16" xfId="506" xr:uid="{00000000-0005-0000-0000-00000A020000}"/>
    <cellStyle name="Énfasis4 17" xfId="507" xr:uid="{00000000-0005-0000-0000-00000B020000}"/>
    <cellStyle name="Énfasis4 18" xfId="508" xr:uid="{00000000-0005-0000-0000-00000C020000}"/>
    <cellStyle name="Énfasis4 19" xfId="509" xr:uid="{00000000-0005-0000-0000-00000D020000}"/>
    <cellStyle name="Énfasis4 2" xfId="510" xr:uid="{00000000-0005-0000-0000-00000E020000}"/>
    <cellStyle name="Énfasis4 3" xfId="511" xr:uid="{00000000-0005-0000-0000-00000F020000}"/>
    <cellStyle name="Énfasis4 4" xfId="512" xr:uid="{00000000-0005-0000-0000-000010020000}"/>
    <cellStyle name="Énfasis4 5" xfId="513" xr:uid="{00000000-0005-0000-0000-000011020000}"/>
    <cellStyle name="Énfasis4 6" xfId="514" xr:uid="{00000000-0005-0000-0000-000012020000}"/>
    <cellStyle name="Énfasis4 7" xfId="515" xr:uid="{00000000-0005-0000-0000-000013020000}"/>
    <cellStyle name="Énfasis4 8" xfId="516" xr:uid="{00000000-0005-0000-0000-000014020000}"/>
    <cellStyle name="Énfasis4 9" xfId="517" xr:uid="{00000000-0005-0000-0000-000015020000}"/>
    <cellStyle name="Énfasis5 10" xfId="518" xr:uid="{00000000-0005-0000-0000-000016020000}"/>
    <cellStyle name="Énfasis5 11" xfId="519" xr:uid="{00000000-0005-0000-0000-000017020000}"/>
    <cellStyle name="Énfasis5 12" xfId="520" xr:uid="{00000000-0005-0000-0000-000018020000}"/>
    <cellStyle name="Énfasis5 13" xfId="521" xr:uid="{00000000-0005-0000-0000-000019020000}"/>
    <cellStyle name="Énfasis5 14" xfId="522" xr:uid="{00000000-0005-0000-0000-00001A020000}"/>
    <cellStyle name="Énfasis5 15" xfId="523" xr:uid="{00000000-0005-0000-0000-00001B020000}"/>
    <cellStyle name="Énfasis5 16" xfId="524" xr:uid="{00000000-0005-0000-0000-00001C020000}"/>
    <cellStyle name="Énfasis5 17" xfId="525" xr:uid="{00000000-0005-0000-0000-00001D020000}"/>
    <cellStyle name="Énfasis5 18" xfId="526" xr:uid="{00000000-0005-0000-0000-00001E020000}"/>
    <cellStyle name="Énfasis5 19" xfId="527" xr:uid="{00000000-0005-0000-0000-00001F020000}"/>
    <cellStyle name="Énfasis5 2" xfId="528" xr:uid="{00000000-0005-0000-0000-000020020000}"/>
    <cellStyle name="Énfasis5 3" xfId="529" xr:uid="{00000000-0005-0000-0000-000021020000}"/>
    <cellStyle name="Énfasis5 4" xfId="530" xr:uid="{00000000-0005-0000-0000-000022020000}"/>
    <cellStyle name="Énfasis5 5" xfId="531" xr:uid="{00000000-0005-0000-0000-000023020000}"/>
    <cellStyle name="Énfasis5 6" xfId="532" xr:uid="{00000000-0005-0000-0000-000024020000}"/>
    <cellStyle name="Énfasis5 7" xfId="533" xr:uid="{00000000-0005-0000-0000-000025020000}"/>
    <cellStyle name="Énfasis5 8" xfId="534" xr:uid="{00000000-0005-0000-0000-000026020000}"/>
    <cellStyle name="Énfasis5 9" xfId="535" xr:uid="{00000000-0005-0000-0000-000027020000}"/>
    <cellStyle name="Énfasis6 10" xfId="536" xr:uid="{00000000-0005-0000-0000-000028020000}"/>
    <cellStyle name="Énfasis6 11" xfId="537" xr:uid="{00000000-0005-0000-0000-000029020000}"/>
    <cellStyle name="Énfasis6 12" xfId="538" xr:uid="{00000000-0005-0000-0000-00002A020000}"/>
    <cellStyle name="Énfasis6 13" xfId="539" xr:uid="{00000000-0005-0000-0000-00002B020000}"/>
    <cellStyle name="Énfasis6 14" xfId="540" xr:uid="{00000000-0005-0000-0000-00002C020000}"/>
    <cellStyle name="Énfasis6 15" xfId="541" xr:uid="{00000000-0005-0000-0000-00002D020000}"/>
    <cellStyle name="Énfasis6 16" xfId="542" xr:uid="{00000000-0005-0000-0000-00002E020000}"/>
    <cellStyle name="Énfasis6 17" xfId="543" xr:uid="{00000000-0005-0000-0000-00002F020000}"/>
    <cellStyle name="Énfasis6 18" xfId="544" xr:uid="{00000000-0005-0000-0000-000030020000}"/>
    <cellStyle name="Énfasis6 19" xfId="545" xr:uid="{00000000-0005-0000-0000-000031020000}"/>
    <cellStyle name="Énfasis6 2" xfId="546" xr:uid="{00000000-0005-0000-0000-000032020000}"/>
    <cellStyle name="Énfasis6 3" xfId="547" xr:uid="{00000000-0005-0000-0000-000033020000}"/>
    <cellStyle name="Énfasis6 4" xfId="548" xr:uid="{00000000-0005-0000-0000-000034020000}"/>
    <cellStyle name="Énfasis6 5" xfId="549" xr:uid="{00000000-0005-0000-0000-000035020000}"/>
    <cellStyle name="Énfasis6 6" xfId="550" xr:uid="{00000000-0005-0000-0000-000036020000}"/>
    <cellStyle name="Énfasis6 7" xfId="551" xr:uid="{00000000-0005-0000-0000-000037020000}"/>
    <cellStyle name="Énfasis6 8" xfId="552" xr:uid="{00000000-0005-0000-0000-000038020000}"/>
    <cellStyle name="Énfasis6 9" xfId="553" xr:uid="{00000000-0005-0000-0000-000039020000}"/>
    <cellStyle name="Entrada 10" xfId="554" xr:uid="{00000000-0005-0000-0000-00003A020000}"/>
    <cellStyle name="Entrada 11" xfId="555" xr:uid="{00000000-0005-0000-0000-00003B020000}"/>
    <cellStyle name="Entrada 12" xfId="556" xr:uid="{00000000-0005-0000-0000-00003C020000}"/>
    <cellStyle name="Entrada 13" xfId="557" xr:uid="{00000000-0005-0000-0000-00003D020000}"/>
    <cellStyle name="Entrada 14" xfId="558" xr:uid="{00000000-0005-0000-0000-00003E020000}"/>
    <cellStyle name="Entrada 15" xfId="559" xr:uid="{00000000-0005-0000-0000-00003F020000}"/>
    <cellStyle name="Entrada 16" xfId="560" xr:uid="{00000000-0005-0000-0000-000040020000}"/>
    <cellStyle name="Entrada 17" xfId="561" xr:uid="{00000000-0005-0000-0000-000041020000}"/>
    <cellStyle name="Entrada 18" xfId="562" xr:uid="{00000000-0005-0000-0000-000042020000}"/>
    <cellStyle name="Entrada 19" xfId="563" xr:uid="{00000000-0005-0000-0000-000043020000}"/>
    <cellStyle name="Entrada 2" xfId="564" xr:uid="{00000000-0005-0000-0000-000044020000}"/>
    <cellStyle name="Entrada 3" xfId="565" xr:uid="{00000000-0005-0000-0000-000045020000}"/>
    <cellStyle name="Entrada 4" xfId="566" xr:uid="{00000000-0005-0000-0000-000046020000}"/>
    <cellStyle name="Entrada 5" xfId="567" xr:uid="{00000000-0005-0000-0000-000047020000}"/>
    <cellStyle name="Entrada 6" xfId="568" xr:uid="{00000000-0005-0000-0000-000048020000}"/>
    <cellStyle name="Entrada 7" xfId="569" xr:uid="{00000000-0005-0000-0000-000049020000}"/>
    <cellStyle name="Entrada 8" xfId="570" xr:uid="{00000000-0005-0000-0000-00004A020000}"/>
    <cellStyle name="Entrada 9" xfId="571" xr:uid="{00000000-0005-0000-0000-00004B020000}"/>
    <cellStyle name="Estilo 1" xfId="572" xr:uid="{00000000-0005-0000-0000-00004C020000}"/>
    <cellStyle name="Estilo 1 2" xfId="573" xr:uid="{00000000-0005-0000-0000-00004D020000}"/>
    <cellStyle name="Estilo 1 2 2" xfId="1036" xr:uid="{00000000-0005-0000-0000-00004E020000}"/>
    <cellStyle name="Estilo 1 3" xfId="574" xr:uid="{00000000-0005-0000-0000-00004F020000}"/>
    <cellStyle name="Estilo 1 3 2" xfId="1037" xr:uid="{00000000-0005-0000-0000-000050020000}"/>
    <cellStyle name="Estilo 1 4" xfId="575" xr:uid="{00000000-0005-0000-0000-000051020000}"/>
    <cellStyle name="Estilo 1 4 2" xfId="1038" xr:uid="{00000000-0005-0000-0000-000052020000}"/>
    <cellStyle name="Estilo 1 5" xfId="1035" xr:uid="{00000000-0005-0000-0000-000053020000}"/>
    <cellStyle name="Estilo 2" xfId="576" xr:uid="{00000000-0005-0000-0000-000054020000}"/>
    <cellStyle name="Estilo 2 2" xfId="577" xr:uid="{00000000-0005-0000-0000-000055020000}"/>
    <cellStyle name="Estilo 2 2 2" xfId="1040" xr:uid="{00000000-0005-0000-0000-000056020000}"/>
    <cellStyle name="Estilo 2 3" xfId="578" xr:uid="{00000000-0005-0000-0000-000057020000}"/>
    <cellStyle name="Estilo 2 3 2" xfId="1041" xr:uid="{00000000-0005-0000-0000-000058020000}"/>
    <cellStyle name="Estilo 2 4" xfId="579" xr:uid="{00000000-0005-0000-0000-000059020000}"/>
    <cellStyle name="Estilo 2 4 2" xfId="1042" xr:uid="{00000000-0005-0000-0000-00005A020000}"/>
    <cellStyle name="Estilo 2 5" xfId="1039" xr:uid="{00000000-0005-0000-0000-00005B020000}"/>
    <cellStyle name="Euro" xfId="580" xr:uid="{00000000-0005-0000-0000-00005C020000}"/>
    <cellStyle name="Euro 2" xfId="581" xr:uid="{00000000-0005-0000-0000-00005D020000}"/>
    <cellStyle name="Euro 2 2" xfId="1044" xr:uid="{00000000-0005-0000-0000-00005E020000}"/>
    <cellStyle name="Euro 3" xfId="582" xr:uid="{00000000-0005-0000-0000-00005F020000}"/>
    <cellStyle name="Euro 3 2" xfId="1045" xr:uid="{00000000-0005-0000-0000-000060020000}"/>
    <cellStyle name="Euro 4" xfId="583" xr:uid="{00000000-0005-0000-0000-000061020000}"/>
    <cellStyle name="Euro 4 2" xfId="1046" xr:uid="{00000000-0005-0000-0000-000062020000}"/>
    <cellStyle name="Euro 5" xfId="1043" xr:uid="{00000000-0005-0000-0000-000063020000}"/>
    <cellStyle name="F2" xfId="584" xr:uid="{00000000-0005-0000-0000-000064020000}"/>
    <cellStyle name="F3" xfId="585" xr:uid="{00000000-0005-0000-0000-000065020000}"/>
    <cellStyle name="F4" xfId="586" xr:uid="{00000000-0005-0000-0000-000066020000}"/>
    <cellStyle name="F5" xfId="587" xr:uid="{00000000-0005-0000-0000-000067020000}"/>
    <cellStyle name="F6" xfId="588" xr:uid="{00000000-0005-0000-0000-000068020000}"/>
    <cellStyle name="F7" xfId="589" xr:uid="{00000000-0005-0000-0000-000069020000}"/>
    <cellStyle name="F8" xfId="590" xr:uid="{00000000-0005-0000-0000-00006A020000}"/>
    <cellStyle name="Fecha" xfId="591" xr:uid="{00000000-0005-0000-0000-00006B020000}"/>
    <cellStyle name="Fijo" xfId="592" xr:uid="{00000000-0005-0000-0000-00006C020000}"/>
    <cellStyle name="Followed Hyperlink" xfId="593" xr:uid="{00000000-0005-0000-0000-00006D020000}"/>
    <cellStyle name="Followed Hyperlink 2" xfId="594" xr:uid="{00000000-0005-0000-0000-00006E020000}"/>
    <cellStyle name="Followed Hyperlink 2 2" xfId="1047" xr:uid="{00000000-0005-0000-0000-00006F020000}"/>
    <cellStyle name="Followed Hyperlink 3" xfId="595" xr:uid="{00000000-0005-0000-0000-000070020000}"/>
    <cellStyle name="Followed Hyperlink 3 2" xfId="1048" xr:uid="{00000000-0005-0000-0000-000071020000}"/>
    <cellStyle name="Followed Hyperlink 4" xfId="596" xr:uid="{00000000-0005-0000-0000-000072020000}"/>
    <cellStyle name="Followed Hyperlink 4 2" xfId="1049" xr:uid="{00000000-0005-0000-0000-000073020000}"/>
    <cellStyle name="Grey" xfId="597" xr:uid="{00000000-0005-0000-0000-000074020000}"/>
    <cellStyle name="Header1" xfId="598" xr:uid="{00000000-0005-0000-0000-000075020000}"/>
    <cellStyle name="Header2" xfId="599" xr:uid="{00000000-0005-0000-0000-000076020000}"/>
    <cellStyle name="Hyperlink" xfId="600" builtinId="8"/>
    <cellStyle name="Hyperlink 2" xfId="601" xr:uid="{00000000-0005-0000-0000-000079020000}"/>
    <cellStyle name="Hyperlink 2 2" xfId="1050" xr:uid="{00000000-0005-0000-0000-00007A020000}"/>
    <cellStyle name="Hyperlink 3" xfId="602" xr:uid="{00000000-0005-0000-0000-00007B020000}"/>
    <cellStyle name="Hyperlink 3 2" xfId="1051" xr:uid="{00000000-0005-0000-0000-00007C020000}"/>
    <cellStyle name="Hyperlink 4" xfId="603" xr:uid="{00000000-0005-0000-0000-00007D020000}"/>
    <cellStyle name="Hyperlink 4 2" xfId="1052" xr:uid="{00000000-0005-0000-0000-00007E020000}"/>
    <cellStyle name="Incorrecto 10" xfId="604" xr:uid="{00000000-0005-0000-0000-00007F020000}"/>
    <cellStyle name="Incorrecto 11" xfId="605" xr:uid="{00000000-0005-0000-0000-000080020000}"/>
    <cellStyle name="Incorrecto 12" xfId="606" xr:uid="{00000000-0005-0000-0000-000081020000}"/>
    <cellStyle name="Incorrecto 13" xfId="607" xr:uid="{00000000-0005-0000-0000-000082020000}"/>
    <cellStyle name="Incorrecto 14" xfId="608" xr:uid="{00000000-0005-0000-0000-000083020000}"/>
    <cellStyle name="Incorrecto 15" xfId="609" xr:uid="{00000000-0005-0000-0000-000084020000}"/>
    <cellStyle name="Incorrecto 16" xfId="610" xr:uid="{00000000-0005-0000-0000-000085020000}"/>
    <cellStyle name="Incorrecto 17" xfId="611" xr:uid="{00000000-0005-0000-0000-000086020000}"/>
    <cellStyle name="Incorrecto 18" xfId="612" xr:uid="{00000000-0005-0000-0000-000087020000}"/>
    <cellStyle name="Incorrecto 19" xfId="613" xr:uid="{00000000-0005-0000-0000-000088020000}"/>
    <cellStyle name="Incorrecto 2" xfId="614" xr:uid="{00000000-0005-0000-0000-000089020000}"/>
    <cellStyle name="Incorrecto 3" xfId="615" xr:uid="{00000000-0005-0000-0000-00008A020000}"/>
    <cellStyle name="Incorrecto 4" xfId="616" xr:uid="{00000000-0005-0000-0000-00008B020000}"/>
    <cellStyle name="Incorrecto 5" xfId="617" xr:uid="{00000000-0005-0000-0000-00008C020000}"/>
    <cellStyle name="Incorrecto 6" xfId="618" xr:uid="{00000000-0005-0000-0000-00008D020000}"/>
    <cellStyle name="Incorrecto 7" xfId="619" xr:uid="{00000000-0005-0000-0000-00008E020000}"/>
    <cellStyle name="Incorrecto 8" xfId="620" xr:uid="{00000000-0005-0000-0000-00008F020000}"/>
    <cellStyle name="Incorrecto 9" xfId="621" xr:uid="{00000000-0005-0000-0000-000090020000}"/>
    <cellStyle name="Input" xfId="622" xr:uid="{00000000-0005-0000-0000-000091020000}"/>
    <cellStyle name="Input %" xfId="623" xr:uid="{00000000-0005-0000-0000-000092020000}"/>
    <cellStyle name="Input [yellow]" xfId="624" xr:uid="{00000000-0005-0000-0000-000093020000}"/>
    <cellStyle name="Input 1" xfId="625" xr:uid="{00000000-0005-0000-0000-000094020000}"/>
    <cellStyle name="Input 3" xfId="626" xr:uid="{00000000-0005-0000-0000-000095020000}"/>
    <cellStyle name="JPL" xfId="627" xr:uid="{00000000-0005-0000-0000-000096020000}"/>
    <cellStyle name="JPL 2" xfId="1053" xr:uid="{00000000-0005-0000-0000-000097020000}"/>
    <cellStyle name="JULIAN" xfId="628" xr:uid="{00000000-0005-0000-0000-000098020000}"/>
    <cellStyle name="JULIAN 2" xfId="629" xr:uid="{00000000-0005-0000-0000-000099020000}"/>
    <cellStyle name="JULIAN 2 2" xfId="1054" xr:uid="{00000000-0005-0000-0000-00009A020000}"/>
    <cellStyle name="JULIAN 3" xfId="630" xr:uid="{00000000-0005-0000-0000-00009B020000}"/>
    <cellStyle name="JULIAN 3 2" xfId="1055" xr:uid="{00000000-0005-0000-0000-00009C020000}"/>
    <cellStyle name="JULIAN 4" xfId="631" xr:uid="{00000000-0005-0000-0000-00009D020000}"/>
    <cellStyle name="JULIAN 4 2" xfId="1056" xr:uid="{00000000-0005-0000-0000-00009E020000}"/>
    <cellStyle name="Millares 2" xfId="633" xr:uid="{00000000-0005-0000-0000-0000A0020000}"/>
    <cellStyle name="Millares 2 10" xfId="634" xr:uid="{00000000-0005-0000-0000-0000A1020000}"/>
    <cellStyle name="Millares 2 10 2" xfId="1058" xr:uid="{00000000-0005-0000-0000-0000A2020000}"/>
    <cellStyle name="Millares 2 11" xfId="635" xr:uid="{00000000-0005-0000-0000-0000A3020000}"/>
    <cellStyle name="Millares 2 11 2" xfId="1059" xr:uid="{00000000-0005-0000-0000-0000A4020000}"/>
    <cellStyle name="Millares 2 12" xfId="636" xr:uid="{00000000-0005-0000-0000-0000A5020000}"/>
    <cellStyle name="Millares 2 12 2" xfId="1060" xr:uid="{00000000-0005-0000-0000-0000A6020000}"/>
    <cellStyle name="Millares 2 13" xfId="637" xr:uid="{00000000-0005-0000-0000-0000A7020000}"/>
    <cellStyle name="Millares 2 13 2" xfId="1061" xr:uid="{00000000-0005-0000-0000-0000A8020000}"/>
    <cellStyle name="Millares 2 14" xfId="638" xr:uid="{00000000-0005-0000-0000-0000A9020000}"/>
    <cellStyle name="Millares 2 14 2" xfId="1062" xr:uid="{00000000-0005-0000-0000-0000AA020000}"/>
    <cellStyle name="Millares 2 15" xfId="639" xr:uid="{00000000-0005-0000-0000-0000AB020000}"/>
    <cellStyle name="Millares 2 15 2" xfId="1063" xr:uid="{00000000-0005-0000-0000-0000AC020000}"/>
    <cellStyle name="Millares 2 16" xfId="640" xr:uid="{00000000-0005-0000-0000-0000AD020000}"/>
    <cellStyle name="Millares 2 16 2" xfId="1064" xr:uid="{00000000-0005-0000-0000-0000AE020000}"/>
    <cellStyle name="Millares 2 17" xfId="641" xr:uid="{00000000-0005-0000-0000-0000AF020000}"/>
    <cellStyle name="Millares 2 17 2" xfId="1065" xr:uid="{00000000-0005-0000-0000-0000B0020000}"/>
    <cellStyle name="Millares 2 18" xfId="642" xr:uid="{00000000-0005-0000-0000-0000B1020000}"/>
    <cellStyle name="Millares 2 18 2" xfId="1066" xr:uid="{00000000-0005-0000-0000-0000B2020000}"/>
    <cellStyle name="Millares 2 19" xfId="643" xr:uid="{00000000-0005-0000-0000-0000B3020000}"/>
    <cellStyle name="Millares 2 19 2" xfId="1067" xr:uid="{00000000-0005-0000-0000-0000B4020000}"/>
    <cellStyle name="Millares 2 2" xfId="644" xr:uid="{00000000-0005-0000-0000-0000B5020000}"/>
    <cellStyle name="Millares 2 2 2" xfId="1068" xr:uid="{00000000-0005-0000-0000-0000B6020000}"/>
    <cellStyle name="Millares 2 20" xfId="645" xr:uid="{00000000-0005-0000-0000-0000B7020000}"/>
    <cellStyle name="Millares 2 21" xfId="1057" xr:uid="{00000000-0005-0000-0000-0000B8020000}"/>
    <cellStyle name="Millares 2 3" xfId="646" xr:uid="{00000000-0005-0000-0000-0000B9020000}"/>
    <cellStyle name="Millares 2 3 2" xfId="1069" xr:uid="{00000000-0005-0000-0000-0000BA020000}"/>
    <cellStyle name="Millares 2 4" xfId="647" xr:uid="{00000000-0005-0000-0000-0000BB020000}"/>
    <cellStyle name="Millares 2 4 2" xfId="1070" xr:uid="{00000000-0005-0000-0000-0000BC020000}"/>
    <cellStyle name="Millares 2 5" xfId="648" xr:uid="{00000000-0005-0000-0000-0000BD020000}"/>
    <cellStyle name="Millares 2 5 2" xfId="1071" xr:uid="{00000000-0005-0000-0000-0000BE020000}"/>
    <cellStyle name="Millares 2 6" xfId="649" xr:uid="{00000000-0005-0000-0000-0000BF020000}"/>
    <cellStyle name="Millares 2 6 2" xfId="1072" xr:uid="{00000000-0005-0000-0000-0000C0020000}"/>
    <cellStyle name="Millares 2 7" xfId="650" xr:uid="{00000000-0005-0000-0000-0000C1020000}"/>
    <cellStyle name="Millares 2 7 2" xfId="1073" xr:uid="{00000000-0005-0000-0000-0000C2020000}"/>
    <cellStyle name="Millares 2 8" xfId="651" xr:uid="{00000000-0005-0000-0000-0000C3020000}"/>
    <cellStyle name="Millares 2 8 2" xfId="1074" xr:uid="{00000000-0005-0000-0000-0000C4020000}"/>
    <cellStyle name="Millares 2 9" xfId="652" xr:uid="{00000000-0005-0000-0000-0000C5020000}"/>
    <cellStyle name="Millares 2 9 2" xfId="1075" xr:uid="{00000000-0005-0000-0000-0000C6020000}"/>
    <cellStyle name="Millares 3" xfId="653" xr:uid="{00000000-0005-0000-0000-0000C7020000}"/>
    <cellStyle name="Millares 3 10" xfId="654" xr:uid="{00000000-0005-0000-0000-0000C8020000}"/>
    <cellStyle name="Millares 3 10 2" xfId="1077" xr:uid="{00000000-0005-0000-0000-0000C9020000}"/>
    <cellStyle name="Millares 3 11" xfId="655" xr:uid="{00000000-0005-0000-0000-0000CA020000}"/>
    <cellStyle name="Millares 3 11 2" xfId="1078" xr:uid="{00000000-0005-0000-0000-0000CB020000}"/>
    <cellStyle name="Millares 3 12" xfId="656" xr:uid="{00000000-0005-0000-0000-0000CC020000}"/>
    <cellStyle name="Millares 3 12 2" xfId="1079" xr:uid="{00000000-0005-0000-0000-0000CD020000}"/>
    <cellStyle name="Millares 3 13" xfId="657" xr:uid="{00000000-0005-0000-0000-0000CE020000}"/>
    <cellStyle name="Millares 3 13 2" xfId="1080" xr:uid="{00000000-0005-0000-0000-0000CF020000}"/>
    <cellStyle name="Millares 3 14" xfId="658" xr:uid="{00000000-0005-0000-0000-0000D0020000}"/>
    <cellStyle name="Millares 3 14 2" xfId="1081" xr:uid="{00000000-0005-0000-0000-0000D1020000}"/>
    <cellStyle name="Millares 3 15" xfId="659" xr:uid="{00000000-0005-0000-0000-0000D2020000}"/>
    <cellStyle name="Millares 3 15 2" xfId="1082" xr:uid="{00000000-0005-0000-0000-0000D3020000}"/>
    <cellStyle name="Millares 3 16" xfId="660" xr:uid="{00000000-0005-0000-0000-0000D4020000}"/>
    <cellStyle name="Millares 3 16 2" xfId="1083" xr:uid="{00000000-0005-0000-0000-0000D5020000}"/>
    <cellStyle name="Millares 3 17" xfId="661" xr:uid="{00000000-0005-0000-0000-0000D6020000}"/>
    <cellStyle name="Millares 3 17 2" xfId="1084" xr:uid="{00000000-0005-0000-0000-0000D7020000}"/>
    <cellStyle name="Millares 3 18" xfId="662" xr:uid="{00000000-0005-0000-0000-0000D8020000}"/>
    <cellStyle name="Millares 3 18 2" xfId="1085" xr:uid="{00000000-0005-0000-0000-0000D9020000}"/>
    <cellStyle name="Millares 3 19" xfId="663" xr:uid="{00000000-0005-0000-0000-0000DA020000}"/>
    <cellStyle name="Millares 3 19 2" xfId="1086" xr:uid="{00000000-0005-0000-0000-0000DB020000}"/>
    <cellStyle name="Millares 3 2" xfId="664" xr:uid="{00000000-0005-0000-0000-0000DC020000}"/>
    <cellStyle name="Millares 3 2 2" xfId="1087" xr:uid="{00000000-0005-0000-0000-0000DD020000}"/>
    <cellStyle name="Millares 3 20" xfId="665" xr:uid="{00000000-0005-0000-0000-0000DE020000}"/>
    <cellStyle name="Millares 3 21" xfId="1076" xr:uid="{00000000-0005-0000-0000-0000DF020000}"/>
    <cellStyle name="Millares 3 3" xfId="666" xr:uid="{00000000-0005-0000-0000-0000E0020000}"/>
    <cellStyle name="Millares 3 3 2" xfId="1088" xr:uid="{00000000-0005-0000-0000-0000E1020000}"/>
    <cellStyle name="Millares 3 4" xfId="667" xr:uid="{00000000-0005-0000-0000-0000E2020000}"/>
    <cellStyle name="Millares 3 4 2" xfId="1089" xr:uid="{00000000-0005-0000-0000-0000E3020000}"/>
    <cellStyle name="Millares 3 5" xfId="668" xr:uid="{00000000-0005-0000-0000-0000E4020000}"/>
    <cellStyle name="Millares 3 5 2" xfId="1090" xr:uid="{00000000-0005-0000-0000-0000E5020000}"/>
    <cellStyle name="Millares 3 6" xfId="669" xr:uid="{00000000-0005-0000-0000-0000E6020000}"/>
    <cellStyle name="Millares 3 6 2" xfId="1091" xr:uid="{00000000-0005-0000-0000-0000E7020000}"/>
    <cellStyle name="Millares 3 7" xfId="670" xr:uid="{00000000-0005-0000-0000-0000E8020000}"/>
    <cellStyle name="Millares 3 7 2" xfId="1092" xr:uid="{00000000-0005-0000-0000-0000E9020000}"/>
    <cellStyle name="Millares 3 8" xfId="671" xr:uid="{00000000-0005-0000-0000-0000EA020000}"/>
    <cellStyle name="Millares 3 8 2" xfId="1093" xr:uid="{00000000-0005-0000-0000-0000EB020000}"/>
    <cellStyle name="Millares 3 9" xfId="672" xr:uid="{00000000-0005-0000-0000-0000EC020000}"/>
    <cellStyle name="Millares 3 9 2" xfId="1094" xr:uid="{00000000-0005-0000-0000-0000ED020000}"/>
    <cellStyle name="Millares 4" xfId="673" xr:uid="{00000000-0005-0000-0000-0000EE020000}"/>
    <cellStyle name="Millares 4 2" xfId="674" xr:uid="{00000000-0005-0000-0000-0000EF020000}"/>
    <cellStyle name="Millares 4 3" xfId="1095" xr:uid="{00000000-0005-0000-0000-0000F0020000}"/>
    <cellStyle name="Millares 5" xfId="675" xr:uid="{00000000-0005-0000-0000-0000F1020000}"/>
    <cellStyle name="Millares 5 2" xfId="1096" xr:uid="{00000000-0005-0000-0000-0000F2020000}"/>
    <cellStyle name="Millares 6" xfId="676" xr:uid="{00000000-0005-0000-0000-0000F3020000}"/>
    <cellStyle name="Millares 6 2" xfId="1097" xr:uid="{00000000-0005-0000-0000-0000F4020000}"/>
    <cellStyle name="Millares 7" xfId="677" xr:uid="{00000000-0005-0000-0000-0000F5020000}"/>
    <cellStyle name="Millares 7 2" xfId="1098" xr:uid="{00000000-0005-0000-0000-0000F6020000}"/>
    <cellStyle name="Millares 8" xfId="678" xr:uid="{00000000-0005-0000-0000-0000F7020000}"/>
    <cellStyle name="Millares 8 2" xfId="1099" xr:uid="{00000000-0005-0000-0000-0000F8020000}"/>
    <cellStyle name="Milliers [0]_EDYAN" xfId="679" xr:uid="{00000000-0005-0000-0000-0000F9020000}"/>
    <cellStyle name="Milliers_EDYAN" xfId="680" xr:uid="{00000000-0005-0000-0000-0000FA020000}"/>
    <cellStyle name="Moneda [0] 2" xfId="681" xr:uid="{00000000-0005-0000-0000-0000FB020000}"/>
    <cellStyle name="Moneda [0] 2 2" xfId="1100" xr:uid="{00000000-0005-0000-0000-0000FC020000}"/>
    <cellStyle name="Monétaire [0]_EDYAN" xfId="682" xr:uid="{00000000-0005-0000-0000-0000FD020000}"/>
    <cellStyle name="Monétaire_EDYAN" xfId="683" xr:uid="{00000000-0005-0000-0000-0000FE020000}"/>
    <cellStyle name="Monetario" xfId="684" xr:uid="{00000000-0005-0000-0000-0000FF020000}"/>
    <cellStyle name="Monetario0" xfId="685" xr:uid="{00000000-0005-0000-0000-000000030000}"/>
    <cellStyle name="Month" xfId="686" xr:uid="{00000000-0005-0000-0000-000001030000}"/>
    <cellStyle name="Month 2" xfId="687" xr:uid="{00000000-0005-0000-0000-000002030000}"/>
    <cellStyle name="Month 2 2" xfId="1102" xr:uid="{00000000-0005-0000-0000-000003030000}"/>
    <cellStyle name="Month 3" xfId="688" xr:uid="{00000000-0005-0000-0000-000004030000}"/>
    <cellStyle name="Month 3 2" xfId="1103" xr:uid="{00000000-0005-0000-0000-000005030000}"/>
    <cellStyle name="Month 4" xfId="689" xr:uid="{00000000-0005-0000-0000-000006030000}"/>
    <cellStyle name="Month 4 2" xfId="1104" xr:uid="{00000000-0005-0000-0000-000007030000}"/>
    <cellStyle name="Month 5" xfId="1101" xr:uid="{00000000-0005-0000-0000-000008030000}"/>
    <cellStyle name="Neutral 10" xfId="690" xr:uid="{00000000-0005-0000-0000-000009030000}"/>
    <cellStyle name="Neutral 11" xfId="691" xr:uid="{00000000-0005-0000-0000-00000A030000}"/>
    <cellStyle name="Neutral 12" xfId="692" xr:uid="{00000000-0005-0000-0000-00000B030000}"/>
    <cellStyle name="Neutral 13" xfId="693" xr:uid="{00000000-0005-0000-0000-00000C030000}"/>
    <cellStyle name="Neutral 14" xfId="694" xr:uid="{00000000-0005-0000-0000-00000D030000}"/>
    <cellStyle name="Neutral 15" xfId="695" xr:uid="{00000000-0005-0000-0000-00000E030000}"/>
    <cellStyle name="Neutral 16" xfId="696" xr:uid="{00000000-0005-0000-0000-00000F030000}"/>
    <cellStyle name="Neutral 17" xfId="697" xr:uid="{00000000-0005-0000-0000-000010030000}"/>
    <cellStyle name="Neutral 18" xfId="698" xr:uid="{00000000-0005-0000-0000-000011030000}"/>
    <cellStyle name="Neutral 19" xfId="699" xr:uid="{00000000-0005-0000-0000-000012030000}"/>
    <cellStyle name="Neutral 2" xfId="700" xr:uid="{00000000-0005-0000-0000-000013030000}"/>
    <cellStyle name="Neutral 3" xfId="701" xr:uid="{00000000-0005-0000-0000-000014030000}"/>
    <cellStyle name="Neutral 4" xfId="702" xr:uid="{00000000-0005-0000-0000-000015030000}"/>
    <cellStyle name="Neutral 5" xfId="703" xr:uid="{00000000-0005-0000-0000-000016030000}"/>
    <cellStyle name="Neutral 6" xfId="704" xr:uid="{00000000-0005-0000-0000-000017030000}"/>
    <cellStyle name="Neutral 7" xfId="705" xr:uid="{00000000-0005-0000-0000-000018030000}"/>
    <cellStyle name="Neutral 8" xfId="706" xr:uid="{00000000-0005-0000-0000-000019030000}"/>
    <cellStyle name="Neutral 9" xfId="707" xr:uid="{00000000-0005-0000-0000-00001A030000}"/>
    <cellStyle name="No-definido" xfId="708" xr:uid="{00000000-0005-0000-0000-00001B030000}"/>
    <cellStyle name="No-definido 2" xfId="1105" xr:uid="{00000000-0005-0000-0000-00001C030000}"/>
    <cellStyle name="Normal" xfId="0" builtinId="0"/>
    <cellStyle name="Normal - Style1" xfId="709" xr:uid="{00000000-0005-0000-0000-00001E030000}"/>
    <cellStyle name="Normal 10" xfId="710" xr:uid="{00000000-0005-0000-0000-00001F030000}"/>
    <cellStyle name="Normal 11" xfId="711" xr:uid="{00000000-0005-0000-0000-000020030000}"/>
    <cellStyle name="Normal 11 10" xfId="712" xr:uid="{00000000-0005-0000-0000-000021030000}"/>
    <cellStyle name="Normal 11 11" xfId="713" xr:uid="{00000000-0005-0000-0000-000022030000}"/>
    <cellStyle name="Normal 11 12" xfId="714" xr:uid="{00000000-0005-0000-0000-000023030000}"/>
    <cellStyle name="Normal 11 13" xfId="715" xr:uid="{00000000-0005-0000-0000-000024030000}"/>
    <cellStyle name="Normal 11 14" xfId="716" xr:uid="{00000000-0005-0000-0000-000025030000}"/>
    <cellStyle name="Normal 11 15" xfId="717" xr:uid="{00000000-0005-0000-0000-000026030000}"/>
    <cellStyle name="Normal 11 16" xfId="718" xr:uid="{00000000-0005-0000-0000-000027030000}"/>
    <cellStyle name="Normal 11 17" xfId="719" xr:uid="{00000000-0005-0000-0000-000028030000}"/>
    <cellStyle name="Normal 11 18" xfId="720" xr:uid="{00000000-0005-0000-0000-000029030000}"/>
    <cellStyle name="Normal 11 19" xfId="721" xr:uid="{00000000-0005-0000-0000-00002A030000}"/>
    <cellStyle name="Normal 11 2" xfId="722" xr:uid="{00000000-0005-0000-0000-00002B030000}"/>
    <cellStyle name="Normal 11 20" xfId="1106" xr:uid="{00000000-0005-0000-0000-00002C030000}"/>
    <cellStyle name="Normal 11 3" xfId="723" xr:uid="{00000000-0005-0000-0000-00002D030000}"/>
    <cellStyle name="Normal 11 4" xfId="724" xr:uid="{00000000-0005-0000-0000-00002E030000}"/>
    <cellStyle name="Normal 11 5" xfId="725" xr:uid="{00000000-0005-0000-0000-00002F030000}"/>
    <cellStyle name="Normal 11 6" xfId="726" xr:uid="{00000000-0005-0000-0000-000030030000}"/>
    <cellStyle name="Normal 11 7" xfId="727" xr:uid="{00000000-0005-0000-0000-000031030000}"/>
    <cellStyle name="Normal 11 8" xfId="728" xr:uid="{00000000-0005-0000-0000-000032030000}"/>
    <cellStyle name="Normal 11 9" xfId="729" xr:uid="{00000000-0005-0000-0000-000033030000}"/>
    <cellStyle name="Normal 12" xfId="730" xr:uid="{00000000-0005-0000-0000-000034030000}"/>
    <cellStyle name="Normal 12 2" xfId="1107" xr:uid="{00000000-0005-0000-0000-000035030000}"/>
    <cellStyle name="Normal 13" xfId="731" xr:uid="{00000000-0005-0000-0000-000036030000}"/>
    <cellStyle name="Normal 13 2" xfId="1108" xr:uid="{00000000-0005-0000-0000-000037030000}"/>
    <cellStyle name="Normal 14" xfId="732" xr:uid="{00000000-0005-0000-0000-000038030000}"/>
    <cellStyle name="Normal 14 2" xfId="1109" xr:uid="{00000000-0005-0000-0000-000039030000}"/>
    <cellStyle name="Normal 15" xfId="733" xr:uid="{00000000-0005-0000-0000-00003A030000}"/>
    <cellStyle name="Normal 16" xfId="734" xr:uid="{00000000-0005-0000-0000-00003B030000}"/>
    <cellStyle name="Normal 16 2" xfId="1110" xr:uid="{00000000-0005-0000-0000-00003C030000}"/>
    <cellStyle name="Normal 17" xfId="735" xr:uid="{00000000-0005-0000-0000-00003D030000}"/>
    <cellStyle name="Normal 17 2" xfId="1111" xr:uid="{00000000-0005-0000-0000-00003E030000}"/>
    <cellStyle name="Normal 18" xfId="736" xr:uid="{00000000-0005-0000-0000-00003F030000}"/>
    <cellStyle name="Normal 19" xfId="1017" xr:uid="{00000000-0005-0000-0000-000040030000}"/>
    <cellStyle name="Normal 2" xfId="737" xr:uid="{00000000-0005-0000-0000-000041030000}"/>
    <cellStyle name="Normal 2 10" xfId="738" xr:uid="{00000000-0005-0000-0000-000042030000}"/>
    <cellStyle name="Normal 2 10 2" xfId="1112" xr:uid="{00000000-0005-0000-0000-000043030000}"/>
    <cellStyle name="Normal 2 11" xfId="739" xr:uid="{00000000-0005-0000-0000-000044030000}"/>
    <cellStyle name="Normal 2 11 2" xfId="1113" xr:uid="{00000000-0005-0000-0000-000045030000}"/>
    <cellStyle name="Normal 2 12" xfId="740" xr:uid="{00000000-0005-0000-0000-000046030000}"/>
    <cellStyle name="Normal 2 12 2" xfId="1114" xr:uid="{00000000-0005-0000-0000-000047030000}"/>
    <cellStyle name="Normal 2 13" xfId="741" xr:uid="{00000000-0005-0000-0000-000048030000}"/>
    <cellStyle name="Normal 2 13 2" xfId="1115" xr:uid="{00000000-0005-0000-0000-000049030000}"/>
    <cellStyle name="Normal 2 14" xfId="742" xr:uid="{00000000-0005-0000-0000-00004A030000}"/>
    <cellStyle name="Normal 2 14 2" xfId="1116" xr:uid="{00000000-0005-0000-0000-00004B030000}"/>
    <cellStyle name="Normal 2 15" xfId="743" xr:uid="{00000000-0005-0000-0000-00004C030000}"/>
    <cellStyle name="Normal 2 15 2" xfId="1117" xr:uid="{00000000-0005-0000-0000-00004D030000}"/>
    <cellStyle name="Normal 2 16" xfId="744" xr:uid="{00000000-0005-0000-0000-00004E030000}"/>
    <cellStyle name="Normal 2 16 2" xfId="1118" xr:uid="{00000000-0005-0000-0000-00004F030000}"/>
    <cellStyle name="Normal 2 17" xfId="745" xr:uid="{00000000-0005-0000-0000-000050030000}"/>
    <cellStyle name="Normal 2 17 2" xfId="1119" xr:uid="{00000000-0005-0000-0000-000051030000}"/>
    <cellStyle name="Normal 2 18" xfId="746" xr:uid="{00000000-0005-0000-0000-000052030000}"/>
    <cellStyle name="Normal 2 18 2" xfId="1120" xr:uid="{00000000-0005-0000-0000-000053030000}"/>
    <cellStyle name="Normal 2 19" xfId="747" xr:uid="{00000000-0005-0000-0000-000054030000}"/>
    <cellStyle name="Normal 2 19 2" xfId="1121" xr:uid="{00000000-0005-0000-0000-000055030000}"/>
    <cellStyle name="Normal 2 2" xfId="748" xr:uid="{00000000-0005-0000-0000-000056030000}"/>
    <cellStyle name="Normal 2 2 2" xfId="749" xr:uid="{00000000-0005-0000-0000-000057030000}"/>
    <cellStyle name="Normal 2 2 2 2" xfId="1123" xr:uid="{00000000-0005-0000-0000-000058030000}"/>
    <cellStyle name="Normal 2 2 3" xfId="1122" xr:uid="{00000000-0005-0000-0000-000059030000}"/>
    <cellStyle name="Normal 2 2_00_América Latina mensual 2013-2014_febrero (1)" xfId="750" xr:uid="{00000000-0005-0000-0000-00005A030000}"/>
    <cellStyle name="Normal 2 3" xfId="751" xr:uid="{00000000-0005-0000-0000-00005B030000}"/>
    <cellStyle name="Normal 2 3 2" xfId="752" xr:uid="{00000000-0005-0000-0000-00005C030000}"/>
    <cellStyle name="Normal 2 3 2 2" xfId="1125" xr:uid="{00000000-0005-0000-0000-00005D030000}"/>
    <cellStyle name="Normal 2 3 3" xfId="1124" xr:uid="{00000000-0005-0000-0000-00005E030000}"/>
    <cellStyle name="Normal 2 4" xfId="753" xr:uid="{00000000-0005-0000-0000-00005F030000}"/>
    <cellStyle name="Normal 2 4 2" xfId="1126" xr:uid="{00000000-0005-0000-0000-000060030000}"/>
    <cellStyle name="Normal 2 5" xfId="754" xr:uid="{00000000-0005-0000-0000-000061030000}"/>
    <cellStyle name="Normal 2 5 2" xfId="1127" xr:uid="{00000000-0005-0000-0000-000062030000}"/>
    <cellStyle name="Normal 2 6" xfId="755" xr:uid="{00000000-0005-0000-0000-000063030000}"/>
    <cellStyle name="Normal 2 6 2" xfId="1128" xr:uid="{00000000-0005-0000-0000-000064030000}"/>
    <cellStyle name="Normal 2 7" xfId="756" xr:uid="{00000000-0005-0000-0000-000065030000}"/>
    <cellStyle name="Normal 2 7 2" xfId="1129" xr:uid="{00000000-0005-0000-0000-000066030000}"/>
    <cellStyle name="Normal 2 8" xfId="757" xr:uid="{00000000-0005-0000-0000-000067030000}"/>
    <cellStyle name="Normal 2 8 2" xfId="1130" xr:uid="{00000000-0005-0000-0000-000068030000}"/>
    <cellStyle name="Normal 2 9" xfId="758" xr:uid="{00000000-0005-0000-0000-000069030000}"/>
    <cellStyle name="Normal 2 9 2" xfId="1131" xr:uid="{00000000-0005-0000-0000-00006A030000}"/>
    <cellStyle name="Normal 20" xfId="759" xr:uid="{00000000-0005-0000-0000-00006B030000}"/>
    <cellStyle name="Normal 20 2" xfId="1132" xr:uid="{00000000-0005-0000-0000-00006C030000}"/>
    <cellStyle name="Normal 21" xfId="760" xr:uid="{00000000-0005-0000-0000-00006D030000}"/>
    <cellStyle name="Normal 21 2" xfId="1133" xr:uid="{00000000-0005-0000-0000-00006E030000}"/>
    <cellStyle name="Normal 22" xfId="761" xr:uid="{00000000-0005-0000-0000-00006F030000}"/>
    <cellStyle name="Normal 22 2" xfId="1134" xr:uid="{00000000-0005-0000-0000-000070030000}"/>
    <cellStyle name="Normal 23" xfId="1018" xr:uid="{00000000-0005-0000-0000-000071030000}"/>
    <cellStyle name="Normal 25" xfId="762" xr:uid="{00000000-0005-0000-0000-000072030000}"/>
    <cellStyle name="Normal 25 2" xfId="1135" xr:uid="{00000000-0005-0000-0000-000073030000}"/>
    <cellStyle name="Normal 26" xfId="763" xr:uid="{00000000-0005-0000-0000-000074030000}"/>
    <cellStyle name="Normal 26 2" xfId="1136" xr:uid="{00000000-0005-0000-0000-000075030000}"/>
    <cellStyle name="Normal 27" xfId="764" xr:uid="{00000000-0005-0000-0000-000076030000}"/>
    <cellStyle name="Normal 27 2" xfId="1137" xr:uid="{00000000-0005-0000-0000-000077030000}"/>
    <cellStyle name="Normal 28" xfId="765" xr:uid="{00000000-0005-0000-0000-000078030000}"/>
    <cellStyle name="Normal 28 2" xfId="1138" xr:uid="{00000000-0005-0000-0000-000079030000}"/>
    <cellStyle name="Normal 29" xfId="766" xr:uid="{00000000-0005-0000-0000-00007A030000}"/>
    <cellStyle name="Normal 29 2" xfId="1139" xr:uid="{00000000-0005-0000-0000-00007B030000}"/>
    <cellStyle name="Normal 3" xfId="767" xr:uid="{00000000-0005-0000-0000-00007C030000}"/>
    <cellStyle name="Normal 3 2" xfId="1140" xr:uid="{00000000-0005-0000-0000-00007D030000}"/>
    <cellStyle name="Normal 30" xfId="768" xr:uid="{00000000-0005-0000-0000-00007E030000}"/>
    <cellStyle name="Normal 30 2" xfId="1141" xr:uid="{00000000-0005-0000-0000-00007F030000}"/>
    <cellStyle name="Normal 31" xfId="769" xr:uid="{00000000-0005-0000-0000-000080030000}"/>
    <cellStyle name="Normal 31 2" xfId="1142" xr:uid="{00000000-0005-0000-0000-000081030000}"/>
    <cellStyle name="Normal 4" xfId="770" xr:uid="{00000000-0005-0000-0000-000082030000}"/>
    <cellStyle name="Normal 5" xfId="771" xr:uid="{00000000-0005-0000-0000-000083030000}"/>
    <cellStyle name="Normal 5 2" xfId="1143" xr:uid="{00000000-0005-0000-0000-000084030000}"/>
    <cellStyle name="Normal 6" xfId="772" xr:uid="{00000000-0005-0000-0000-000085030000}"/>
    <cellStyle name="Normal 6 10" xfId="773" xr:uid="{00000000-0005-0000-0000-000086030000}"/>
    <cellStyle name="Normal 6 11" xfId="774" xr:uid="{00000000-0005-0000-0000-000087030000}"/>
    <cellStyle name="Normal 6 12" xfId="775" xr:uid="{00000000-0005-0000-0000-000088030000}"/>
    <cellStyle name="Normal 6 13" xfId="776" xr:uid="{00000000-0005-0000-0000-000089030000}"/>
    <cellStyle name="Normal 6 14" xfId="777" xr:uid="{00000000-0005-0000-0000-00008A030000}"/>
    <cellStyle name="Normal 6 15" xfId="778" xr:uid="{00000000-0005-0000-0000-00008B030000}"/>
    <cellStyle name="Normal 6 16" xfId="779" xr:uid="{00000000-0005-0000-0000-00008C030000}"/>
    <cellStyle name="Normal 6 17" xfId="780" xr:uid="{00000000-0005-0000-0000-00008D030000}"/>
    <cellStyle name="Normal 6 18" xfId="781" xr:uid="{00000000-0005-0000-0000-00008E030000}"/>
    <cellStyle name="Normal 6 19" xfId="782" xr:uid="{00000000-0005-0000-0000-00008F030000}"/>
    <cellStyle name="Normal 6 2" xfId="783" xr:uid="{00000000-0005-0000-0000-000090030000}"/>
    <cellStyle name="Normal 6 20" xfId="1144" xr:uid="{00000000-0005-0000-0000-000091030000}"/>
    <cellStyle name="Normal 6 3" xfId="784" xr:uid="{00000000-0005-0000-0000-000092030000}"/>
    <cellStyle name="Normal 6 4" xfId="785" xr:uid="{00000000-0005-0000-0000-000093030000}"/>
    <cellStyle name="Normal 6 5" xfId="786" xr:uid="{00000000-0005-0000-0000-000094030000}"/>
    <cellStyle name="Normal 6 6" xfId="787" xr:uid="{00000000-0005-0000-0000-000095030000}"/>
    <cellStyle name="Normal 6 7" xfId="788" xr:uid="{00000000-0005-0000-0000-000096030000}"/>
    <cellStyle name="Normal 6 8" xfId="789" xr:uid="{00000000-0005-0000-0000-000097030000}"/>
    <cellStyle name="Normal 6 9" xfId="790" xr:uid="{00000000-0005-0000-0000-000098030000}"/>
    <cellStyle name="Normal 6_00_América Latina mensual 2013-2014_febrero (1)" xfId="791" xr:uid="{00000000-0005-0000-0000-000099030000}"/>
    <cellStyle name="Normal 7" xfId="792" xr:uid="{00000000-0005-0000-0000-00009A030000}"/>
    <cellStyle name="Normal 7 2" xfId="1145" xr:uid="{00000000-0005-0000-0000-00009B030000}"/>
    <cellStyle name="Normal 8" xfId="793" xr:uid="{00000000-0005-0000-0000-00009C030000}"/>
    <cellStyle name="Normal 8 2" xfId="794" xr:uid="{00000000-0005-0000-0000-00009D030000}"/>
    <cellStyle name="Normal 8 2 2" xfId="1147" xr:uid="{00000000-0005-0000-0000-00009E030000}"/>
    <cellStyle name="Normal 8 3" xfId="1146" xr:uid="{00000000-0005-0000-0000-00009F030000}"/>
    <cellStyle name="Normal 9" xfId="795" xr:uid="{00000000-0005-0000-0000-0000A0030000}"/>
    <cellStyle name="Normal 9 2" xfId="1148" xr:uid="{00000000-0005-0000-0000-0000A1030000}"/>
    <cellStyle name="Normale_Foglio1" xfId="796" xr:uid="{00000000-0005-0000-0000-0000A2030000}"/>
    <cellStyle name="Notas 10" xfId="797" xr:uid="{00000000-0005-0000-0000-0000A3030000}"/>
    <cellStyle name="Notas 10 2" xfId="1149" xr:uid="{00000000-0005-0000-0000-0000A4030000}"/>
    <cellStyle name="Notas 11" xfId="798" xr:uid="{00000000-0005-0000-0000-0000A5030000}"/>
    <cellStyle name="Notas 11 2" xfId="1150" xr:uid="{00000000-0005-0000-0000-0000A6030000}"/>
    <cellStyle name="Notas 12" xfId="799" xr:uid="{00000000-0005-0000-0000-0000A7030000}"/>
    <cellStyle name="Notas 12 2" xfId="1151" xr:uid="{00000000-0005-0000-0000-0000A8030000}"/>
    <cellStyle name="Notas 13" xfId="800" xr:uid="{00000000-0005-0000-0000-0000A9030000}"/>
    <cellStyle name="Notas 13 2" xfId="1152" xr:uid="{00000000-0005-0000-0000-0000AA030000}"/>
    <cellStyle name="Notas 14" xfId="801" xr:uid="{00000000-0005-0000-0000-0000AB030000}"/>
    <cellStyle name="Notas 14 2" xfId="1153" xr:uid="{00000000-0005-0000-0000-0000AC030000}"/>
    <cellStyle name="Notas 15" xfId="802" xr:uid="{00000000-0005-0000-0000-0000AD030000}"/>
    <cellStyle name="Notas 15 2" xfId="1154" xr:uid="{00000000-0005-0000-0000-0000AE030000}"/>
    <cellStyle name="Notas 16" xfId="803" xr:uid="{00000000-0005-0000-0000-0000AF030000}"/>
    <cellStyle name="Notas 16 2" xfId="1155" xr:uid="{00000000-0005-0000-0000-0000B0030000}"/>
    <cellStyle name="Notas 17" xfId="804" xr:uid="{00000000-0005-0000-0000-0000B1030000}"/>
    <cellStyle name="Notas 17 2" xfId="1156" xr:uid="{00000000-0005-0000-0000-0000B2030000}"/>
    <cellStyle name="Notas 18" xfId="805" xr:uid="{00000000-0005-0000-0000-0000B3030000}"/>
    <cellStyle name="Notas 18 2" xfId="1157" xr:uid="{00000000-0005-0000-0000-0000B4030000}"/>
    <cellStyle name="Notas 19" xfId="806" xr:uid="{00000000-0005-0000-0000-0000B5030000}"/>
    <cellStyle name="Notas 19 2" xfId="1158" xr:uid="{00000000-0005-0000-0000-0000B6030000}"/>
    <cellStyle name="Notas 2" xfId="807" xr:uid="{00000000-0005-0000-0000-0000B7030000}"/>
    <cellStyle name="Notas 2 2" xfId="1159" xr:uid="{00000000-0005-0000-0000-0000B8030000}"/>
    <cellStyle name="Notas 3" xfId="808" xr:uid="{00000000-0005-0000-0000-0000B9030000}"/>
    <cellStyle name="Notas 3 2" xfId="1160" xr:uid="{00000000-0005-0000-0000-0000BA030000}"/>
    <cellStyle name="Notas 4" xfId="809" xr:uid="{00000000-0005-0000-0000-0000BB030000}"/>
    <cellStyle name="Notas 4 2" xfId="1161" xr:uid="{00000000-0005-0000-0000-0000BC030000}"/>
    <cellStyle name="Notas 5" xfId="810" xr:uid="{00000000-0005-0000-0000-0000BD030000}"/>
    <cellStyle name="Notas 5 2" xfId="1162" xr:uid="{00000000-0005-0000-0000-0000BE030000}"/>
    <cellStyle name="Notas 6" xfId="811" xr:uid="{00000000-0005-0000-0000-0000BF030000}"/>
    <cellStyle name="Notas 6 2" xfId="1163" xr:uid="{00000000-0005-0000-0000-0000C0030000}"/>
    <cellStyle name="Notas 7" xfId="812" xr:uid="{00000000-0005-0000-0000-0000C1030000}"/>
    <cellStyle name="Notas 7 2" xfId="1164" xr:uid="{00000000-0005-0000-0000-0000C2030000}"/>
    <cellStyle name="Notas 8" xfId="813" xr:uid="{00000000-0005-0000-0000-0000C3030000}"/>
    <cellStyle name="Notas 8 2" xfId="1165" xr:uid="{00000000-0005-0000-0000-0000C4030000}"/>
    <cellStyle name="Notas 9" xfId="814" xr:uid="{00000000-0005-0000-0000-0000C5030000}"/>
    <cellStyle name="Notas 9 2" xfId="1166" xr:uid="{00000000-0005-0000-0000-0000C6030000}"/>
    <cellStyle name="Percent" xfId="838" builtinId="5"/>
    <cellStyle name="Percent ()" xfId="815" xr:uid="{00000000-0005-0000-0000-0000C7030000}"/>
    <cellStyle name="Percent (0)" xfId="816" xr:uid="{00000000-0005-0000-0000-0000C8030000}"/>
    <cellStyle name="Percent (0) 2" xfId="817" xr:uid="{00000000-0005-0000-0000-0000C9030000}"/>
    <cellStyle name="Percent (0) 2 2" xfId="1168" xr:uid="{00000000-0005-0000-0000-0000CA030000}"/>
    <cellStyle name="Percent (0) 3" xfId="818" xr:uid="{00000000-0005-0000-0000-0000CB030000}"/>
    <cellStyle name="Percent (0) 3 2" xfId="1169" xr:uid="{00000000-0005-0000-0000-0000CC030000}"/>
    <cellStyle name="Percent (0) 4" xfId="819" xr:uid="{00000000-0005-0000-0000-0000CD030000}"/>
    <cellStyle name="Percent (0) 4 2" xfId="1170" xr:uid="{00000000-0005-0000-0000-0000CE030000}"/>
    <cellStyle name="Percent (0) 5" xfId="1167" xr:uid="{00000000-0005-0000-0000-0000CF030000}"/>
    <cellStyle name="Percent (1)" xfId="820" xr:uid="{00000000-0005-0000-0000-0000D0030000}"/>
    <cellStyle name="Percent (1) 2" xfId="821" xr:uid="{00000000-0005-0000-0000-0000D1030000}"/>
    <cellStyle name="Percent (1) 2 2" xfId="1172" xr:uid="{00000000-0005-0000-0000-0000D2030000}"/>
    <cellStyle name="Percent (1) 3" xfId="822" xr:uid="{00000000-0005-0000-0000-0000D3030000}"/>
    <cellStyle name="Percent (1) 3 2" xfId="1173" xr:uid="{00000000-0005-0000-0000-0000D4030000}"/>
    <cellStyle name="Percent (1) 4" xfId="823" xr:uid="{00000000-0005-0000-0000-0000D5030000}"/>
    <cellStyle name="Percent (1) 4 2" xfId="1174" xr:uid="{00000000-0005-0000-0000-0000D6030000}"/>
    <cellStyle name="Percent (1) 5" xfId="1171" xr:uid="{00000000-0005-0000-0000-0000D7030000}"/>
    <cellStyle name="Percent [2]" xfId="824" xr:uid="{00000000-0005-0000-0000-0000D8030000}"/>
    <cellStyle name="Percent [2] 2" xfId="825" xr:uid="{00000000-0005-0000-0000-0000D9030000}"/>
    <cellStyle name="Percent [2] 2 2" xfId="1176" xr:uid="{00000000-0005-0000-0000-0000DA030000}"/>
    <cellStyle name="Percent [2] 3" xfId="826" xr:uid="{00000000-0005-0000-0000-0000DB030000}"/>
    <cellStyle name="Percent [2] 3 2" xfId="1177" xr:uid="{00000000-0005-0000-0000-0000DC030000}"/>
    <cellStyle name="Percent [2] 4" xfId="827" xr:uid="{00000000-0005-0000-0000-0000DD030000}"/>
    <cellStyle name="Percent [2] 4 2" xfId="1178" xr:uid="{00000000-0005-0000-0000-0000DE030000}"/>
    <cellStyle name="Percent [2] 5" xfId="1175" xr:uid="{00000000-0005-0000-0000-0000DF030000}"/>
    <cellStyle name="Percent 1" xfId="828" xr:uid="{00000000-0005-0000-0000-0000E0030000}"/>
    <cellStyle name="Percent 1 2" xfId="829" xr:uid="{00000000-0005-0000-0000-0000E1030000}"/>
    <cellStyle name="Percent 1 2 2" xfId="1180" xr:uid="{00000000-0005-0000-0000-0000E2030000}"/>
    <cellStyle name="Percent 1 3" xfId="830" xr:uid="{00000000-0005-0000-0000-0000E3030000}"/>
    <cellStyle name="Percent 1 3 2" xfId="1181" xr:uid="{00000000-0005-0000-0000-0000E4030000}"/>
    <cellStyle name="Percent 1 4" xfId="831" xr:uid="{00000000-0005-0000-0000-0000E5030000}"/>
    <cellStyle name="Percent 1 4 2" xfId="1182" xr:uid="{00000000-0005-0000-0000-0000E6030000}"/>
    <cellStyle name="Percent 1 5" xfId="1179" xr:uid="{00000000-0005-0000-0000-0000E7030000}"/>
    <cellStyle name="Percent 2" xfId="832" xr:uid="{00000000-0005-0000-0000-0000E8030000}"/>
    <cellStyle name="Percent 2 2" xfId="833" xr:uid="{00000000-0005-0000-0000-0000E9030000}"/>
    <cellStyle name="Percent 2 2 2" xfId="1184" xr:uid="{00000000-0005-0000-0000-0000EA030000}"/>
    <cellStyle name="Percent 2 3" xfId="834" xr:uid="{00000000-0005-0000-0000-0000EB030000}"/>
    <cellStyle name="Percent 2 3 2" xfId="1185" xr:uid="{00000000-0005-0000-0000-0000EC030000}"/>
    <cellStyle name="Percent 2 4" xfId="835" xr:uid="{00000000-0005-0000-0000-0000ED030000}"/>
    <cellStyle name="Percent 2 4 2" xfId="1186" xr:uid="{00000000-0005-0000-0000-0000EE030000}"/>
    <cellStyle name="Percent 2 5" xfId="1183" xr:uid="{00000000-0005-0000-0000-0000EF030000}"/>
    <cellStyle name="Porcentaje 2" xfId="836" xr:uid="{00000000-0005-0000-0000-0000F1030000}"/>
    <cellStyle name="Porcentaje 3" xfId="837" xr:uid="{00000000-0005-0000-0000-0000F2030000}"/>
    <cellStyle name="Porcentaje 3 2" xfId="1187" xr:uid="{00000000-0005-0000-0000-0000F3030000}"/>
    <cellStyle name="Porcentual 2" xfId="839" xr:uid="{00000000-0005-0000-0000-0000F4030000}"/>
    <cellStyle name="Porcentual 2 2" xfId="1188" xr:uid="{00000000-0005-0000-0000-0000F5030000}"/>
    <cellStyle name="Punto" xfId="840" xr:uid="{00000000-0005-0000-0000-0000F6030000}"/>
    <cellStyle name="Punto0" xfId="841" xr:uid="{00000000-0005-0000-0000-0000F7030000}"/>
    <cellStyle name="RAMEY" xfId="842" xr:uid="{00000000-0005-0000-0000-0000F8030000}"/>
    <cellStyle name="Ramey $k" xfId="843" xr:uid="{00000000-0005-0000-0000-0000F9030000}"/>
    <cellStyle name="RAMEY_P&amp;O BKUP" xfId="844" xr:uid="{00000000-0005-0000-0000-0000FA030000}"/>
    <cellStyle name="Salida 10" xfId="845" xr:uid="{00000000-0005-0000-0000-0000FB030000}"/>
    <cellStyle name="Salida 11" xfId="846" xr:uid="{00000000-0005-0000-0000-0000FC030000}"/>
    <cellStyle name="Salida 12" xfId="847" xr:uid="{00000000-0005-0000-0000-0000FD030000}"/>
    <cellStyle name="Salida 13" xfId="848" xr:uid="{00000000-0005-0000-0000-0000FE030000}"/>
    <cellStyle name="Salida 14" xfId="849" xr:uid="{00000000-0005-0000-0000-0000FF030000}"/>
    <cellStyle name="Salida 15" xfId="850" xr:uid="{00000000-0005-0000-0000-000000040000}"/>
    <cellStyle name="Salida 16" xfId="851" xr:uid="{00000000-0005-0000-0000-000001040000}"/>
    <cellStyle name="Salida 17" xfId="852" xr:uid="{00000000-0005-0000-0000-000002040000}"/>
    <cellStyle name="Salida 18" xfId="853" xr:uid="{00000000-0005-0000-0000-000003040000}"/>
    <cellStyle name="Salida 19" xfId="854" xr:uid="{00000000-0005-0000-0000-000004040000}"/>
    <cellStyle name="Salida 2" xfId="855" xr:uid="{00000000-0005-0000-0000-000005040000}"/>
    <cellStyle name="Salida 3" xfId="856" xr:uid="{00000000-0005-0000-0000-000006040000}"/>
    <cellStyle name="Salida 4" xfId="857" xr:uid="{00000000-0005-0000-0000-000007040000}"/>
    <cellStyle name="Salida 5" xfId="858" xr:uid="{00000000-0005-0000-0000-000008040000}"/>
    <cellStyle name="Salida 6" xfId="859" xr:uid="{00000000-0005-0000-0000-000009040000}"/>
    <cellStyle name="Salida 7" xfId="860" xr:uid="{00000000-0005-0000-0000-00000A040000}"/>
    <cellStyle name="Salida 8" xfId="861" xr:uid="{00000000-0005-0000-0000-00000B040000}"/>
    <cellStyle name="Salida 9" xfId="862" xr:uid="{00000000-0005-0000-0000-00000C040000}"/>
    <cellStyle name="SAPBEXstdData" xfId="863" xr:uid="{00000000-0005-0000-0000-00000D040000}"/>
    <cellStyle name="SAPBEXstdData 2" xfId="864" xr:uid="{00000000-0005-0000-0000-00000E040000}"/>
    <cellStyle name="SAPBEXstdData 2 2" xfId="1189" xr:uid="{00000000-0005-0000-0000-00000F040000}"/>
    <cellStyle name="SAPBEXstdData 3" xfId="865" xr:uid="{00000000-0005-0000-0000-000010040000}"/>
    <cellStyle name="SAPBEXstdData 3 2" xfId="1190" xr:uid="{00000000-0005-0000-0000-000011040000}"/>
    <cellStyle name="SAPBEXstdData 4" xfId="866" xr:uid="{00000000-0005-0000-0000-000012040000}"/>
    <cellStyle name="SAPBEXstdData 4 2" xfId="1191" xr:uid="{00000000-0005-0000-0000-000013040000}"/>
    <cellStyle name="Shaded" xfId="867" xr:uid="{00000000-0005-0000-0000-000014040000}"/>
    <cellStyle name="Shaded 2" xfId="868" xr:uid="{00000000-0005-0000-0000-000015040000}"/>
    <cellStyle name="Shaded 2 2" xfId="1192" xr:uid="{00000000-0005-0000-0000-000016040000}"/>
    <cellStyle name="Shaded 3" xfId="869" xr:uid="{00000000-0005-0000-0000-000017040000}"/>
    <cellStyle name="Shaded 3 2" xfId="1193" xr:uid="{00000000-0005-0000-0000-000018040000}"/>
    <cellStyle name="Shaded 4" xfId="870" xr:uid="{00000000-0005-0000-0000-000019040000}"/>
    <cellStyle name="Shaded 4 2" xfId="1194" xr:uid="{00000000-0005-0000-0000-00001A040000}"/>
    <cellStyle name="Standard_I" xfId="871" xr:uid="{00000000-0005-0000-0000-00001B040000}"/>
    <cellStyle name="Sum" xfId="872" xr:uid="{00000000-0005-0000-0000-00001C040000}"/>
    <cellStyle name="Sum %of HV" xfId="873" xr:uid="{00000000-0005-0000-0000-00001D040000}"/>
    <cellStyle name="Sum %of HV 2" xfId="874" xr:uid="{00000000-0005-0000-0000-00001E040000}"/>
    <cellStyle name="Sum %of HV 2 2" xfId="1196" xr:uid="{00000000-0005-0000-0000-00001F040000}"/>
    <cellStyle name="Sum %of HV 3" xfId="875" xr:uid="{00000000-0005-0000-0000-000020040000}"/>
    <cellStyle name="Sum %of HV 3 2" xfId="1197" xr:uid="{00000000-0005-0000-0000-000021040000}"/>
    <cellStyle name="Sum %of HV 4" xfId="876" xr:uid="{00000000-0005-0000-0000-000022040000}"/>
    <cellStyle name="Sum %of HV 4 2" xfId="1198" xr:uid="{00000000-0005-0000-0000-000023040000}"/>
    <cellStyle name="Sum %of HV 5" xfId="1195" xr:uid="{00000000-0005-0000-0000-000024040000}"/>
    <cellStyle name="Texto de advertencia 10" xfId="877" xr:uid="{00000000-0005-0000-0000-000025040000}"/>
    <cellStyle name="Texto de advertencia 11" xfId="878" xr:uid="{00000000-0005-0000-0000-000026040000}"/>
    <cellStyle name="Texto de advertencia 12" xfId="879" xr:uid="{00000000-0005-0000-0000-000027040000}"/>
    <cellStyle name="Texto de advertencia 13" xfId="880" xr:uid="{00000000-0005-0000-0000-000028040000}"/>
    <cellStyle name="Texto de advertencia 14" xfId="881" xr:uid="{00000000-0005-0000-0000-000029040000}"/>
    <cellStyle name="Texto de advertencia 15" xfId="882" xr:uid="{00000000-0005-0000-0000-00002A040000}"/>
    <cellStyle name="Texto de advertencia 16" xfId="883" xr:uid="{00000000-0005-0000-0000-00002B040000}"/>
    <cellStyle name="Texto de advertencia 17" xfId="884" xr:uid="{00000000-0005-0000-0000-00002C040000}"/>
    <cellStyle name="Texto de advertencia 18" xfId="885" xr:uid="{00000000-0005-0000-0000-00002D040000}"/>
    <cellStyle name="Texto de advertencia 19" xfId="886" xr:uid="{00000000-0005-0000-0000-00002E040000}"/>
    <cellStyle name="Texto de advertencia 2" xfId="887" xr:uid="{00000000-0005-0000-0000-00002F040000}"/>
    <cellStyle name="Texto de advertencia 3" xfId="888" xr:uid="{00000000-0005-0000-0000-000030040000}"/>
    <cellStyle name="Texto de advertencia 4" xfId="889" xr:uid="{00000000-0005-0000-0000-000031040000}"/>
    <cellStyle name="Texto de advertencia 5" xfId="890" xr:uid="{00000000-0005-0000-0000-000032040000}"/>
    <cellStyle name="Texto de advertencia 6" xfId="891" xr:uid="{00000000-0005-0000-0000-000033040000}"/>
    <cellStyle name="Texto de advertencia 7" xfId="892" xr:uid="{00000000-0005-0000-0000-000034040000}"/>
    <cellStyle name="Texto de advertencia 8" xfId="893" xr:uid="{00000000-0005-0000-0000-000035040000}"/>
    <cellStyle name="Texto de advertencia 9" xfId="894" xr:uid="{00000000-0005-0000-0000-000036040000}"/>
    <cellStyle name="Texto explicativo 10" xfId="895" xr:uid="{00000000-0005-0000-0000-000037040000}"/>
    <cellStyle name="Texto explicativo 11" xfId="896" xr:uid="{00000000-0005-0000-0000-000038040000}"/>
    <cellStyle name="Texto explicativo 12" xfId="897" xr:uid="{00000000-0005-0000-0000-000039040000}"/>
    <cellStyle name="Texto explicativo 13" xfId="898" xr:uid="{00000000-0005-0000-0000-00003A040000}"/>
    <cellStyle name="Texto explicativo 14" xfId="899" xr:uid="{00000000-0005-0000-0000-00003B040000}"/>
    <cellStyle name="Texto explicativo 15" xfId="900" xr:uid="{00000000-0005-0000-0000-00003C040000}"/>
    <cellStyle name="Texto explicativo 16" xfId="901" xr:uid="{00000000-0005-0000-0000-00003D040000}"/>
    <cellStyle name="Texto explicativo 17" xfId="902" xr:uid="{00000000-0005-0000-0000-00003E040000}"/>
    <cellStyle name="Texto explicativo 18" xfId="903" xr:uid="{00000000-0005-0000-0000-00003F040000}"/>
    <cellStyle name="Texto explicativo 19" xfId="904" xr:uid="{00000000-0005-0000-0000-000040040000}"/>
    <cellStyle name="Texto explicativo 2" xfId="905" xr:uid="{00000000-0005-0000-0000-000041040000}"/>
    <cellStyle name="Texto explicativo 3" xfId="906" xr:uid="{00000000-0005-0000-0000-000042040000}"/>
    <cellStyle name="Texto explicativo 4" xfId="907" xr:uid="{00000000-0005-0000-0000-000043040000}"/>
    <cellStyle name="Texto explicativo 5" xfId="908" xr:uid="{00000000-0005-0000-0000-000044040000}"/>
    <cellStyle name="Texto explicativo 6" xfId="909" xr:uid="{00000000-0005-0000-0000-000045040000}"/>
    <cellStyle name="Texto explicativo 7" xfId="910" xr:uid="{00000000-0005-0000-0000-000046040000}"/>
    <cellStyle name="Texto explicativo 8" xfId="911" xr:uid="{00000000-0005-0000-0000-000047040000}"/>
    <cellStyle name="Texto explicativo 9" xfId="912" xr:uid="{00000000-0005-0000-0000-000048040000}"/>
    <cellStyle name="Thousands (0)" xfId="913" xr:uid="{00000000-0005-0000-0000-000049040000}"/>
    <cellStyle name="Thousands (0) 2" xfId="914" xr:uid="{00000000-0005-0000-0000-00004A040000}"/>
    <cellStyle name="Thousands (0) 2 2" xfId="1200" xr:uid="{00000000-0005-0000-0000-00004B040000}"/>
    <cellStyle name="Thousands (0) 3" xfId="915" xr:uid="{00000000-0005-0000-0000-00004C040000}"/>
    <cellStyle name="Thousands (0) 3 2" xfId="1201" xr:uid="{00000000-0005-0000-0000-00004D040000}"/>
    <cellStyle name="Thousands (0) 4" xfId="916" xr:uid="{00000000-0005-0000-0000-00004E040000}"/>
    <cellStyle name="Thousands (0) 4 2" xfId="1202" xr:uid="{00000000-0005-0000-0000-00004F040000}"/>
    <cellStyle name="Thousands (0) 5" xfId="1199" xr:uid="{00000000-0005-0000-0000-000050040000}"/>
    <cellStyle name="Thousands (1)" xfId="917" xr:uid="{00000000-0005-0000-0000-000051040000}"/>
    <cellStyle name="Thousands (1) 2" xfId="918" xr:uid="{00000000-0005-0000-0000-000052040000}"/>
    <cellStyle name="Thousands (1) 2 2" xfId="1204" xr:uid="{00000000-0005-0000-0000-000053040000}"/>
    <cellStyle name="Thousands (1) 3" xfId="919" xr:uid="{00000000-0005-0000-0000-000054040000}"/>
    <cellStyle name="Thousands (1) 3 2" xfId="1205" xr:uid="{00000000-0005-0000-0000-000055040000}"/>
    <cellStyle name="Thousands (1) 4" xfId="920" xr:uid="{00000000-0005-0000-0000-000056040000}"/>
    <cellStyle name="Thousands (1) 4 2" xfId="1206" xr:uid="{00000000-0005-0000-0000-000057040000}"/>
    <cellStyle name="Thousands (1) 5" xfId="1203" xr:uid="{00000000-0005-0000-0000-000058040000}"/>
    <cellStyle name="time" xfId="921" xr:uid="{00000000-0005-0000-0000-000059040000}"/>
    <cellStyle name="Título 1 10" xfId="922" xr:uid="{00000000-0005-0000-0000-00005A040000}"/>
    <cellStyle name="Título 1 11" xfId="923" xr:uid="{00000000-0005-0000-0000-00005B040000}"/>
    <cellStyle name="Título 1 12" xfId="924" xr:uid="{00000000-0005-0000-0000-00005C040000}"/>
    <cellStyle name="Título 1 13" xfId="925" xr:uid="{00000000-0005-0000-0000-00005D040000}"/>
    <cellStyle name="Título 1 14" xfId="926" xr:uid="{00000000-0005-0000-0000-00005E040000}"/>
    <cellStyle name="Título 1 15" xfId="927" xr:uid="{00000000-0005-0000-0000-00005F040000}"/>
    <cellStyle name="Título 1 16" xfId="928" xr:uid="{00000000-0005-0000-0000-000060040000}"/>
    <cellStyle name="Título 1 17" xfId="929" xr:uid="{00000000-0005-0000-0000-000061040000}"/>
    <cellStyle name="Título 1 18" xfId="930" xr:uid="{00000000-0005-0000-0000-000062040000}"/>
    <cellStyle name="Título 1 19" xfId="931" xr:uid="{00000000-0005-0000-0000-000063040000}"/>
    <cellStyle name="Título 1 2" xfId="932" xr:uid="{00000000-0005-0000-0000-000064040000}"/>
    <cellStyle name="Título 1 3" xfId="933" xr:uid="{00000000-0005-0000-0000-000065040000}"/>
    <cellStyle name="Título 1 4" xfId="934" xr:uid="{00000000-0005-0000-0000-000066040000}"/>
    <cellStyle name="Título 1 5" xfId="935" xr:uid="{00000000-0005-0000-0000-000067040000}"/>
    <cellStyle name="Título 1 6" xfId="936" xr:uid="{00000000-0005-0000-0000-000068040000}"/>
    <cellStyle name="Título 1 7" xfId="937" xr:uid="{00000000-0005-0000-0000-000069040000}"/>
    <cellStyle name="Título 1 8" xfId="938" xr:uid="{00000000-0005-0000-0000-00006A040000}"/>
    <cellStyle name="Título 1 9" xfId="939" xr:uid="{00000000-0005-0000-0000-00006B040000}"/>
    <cellStyle name="Título 10" xfId="940" xr:uid="{00000000-0005-0000-0000-00006C040000}"/>
    <cellStyle name="Título 11" xfId="941" xr:uid="{00000000-0005-0000-0000-00006D040000}"/>
    <cellStyle name="Título 12" xfId="942" xr:uid="{00000000-0005-0000-0000-00006E040000}"/>
    <cellStyle name="Título 13" xfId="943" xr:uid="{00000000-0005-0000-0000-00006F040000}"/>
    <cellStyle name="Título 14" xfId="944" xr:uid="{00000000-0005-0000-0000-000070040000}"/>
    <cellStyle name="Título 15" xfId="945" xr:uid="{00000000-0005-0000-0000-000071040000}"/>
    <cellStyle name="Título 16" xfId="946" xr:uid="{00000000-0005-0000-0000-000072040000}"/>
    <cellStyle name="Título 17" xfId="947" xr:uid="{00000000-0005-0000-0000-000073040000}"/>
    <cellStyle name="Título 18" xfId="948" xr:uid="{00000000-0005-0000-0000-000074040000}"/>
    <cellStyle name="Título 19" xfId="949" xr:uid="{00000000-0005-0000-0000-000075040000}"/>
    <cellStyle name="Título 2 10" xfId="950" xr:uid="{00000000-0005-0000-0000-000076040000}"/>
    <cellStyle name="Título 2 11" xfId="951" xr:uid="{00000000-0005-0000-0000-000077040000}"/>
    <cellStyle name="Título 2 12" xfId="952" xr:uid="{00000000-0005-0000-0000-000078040000}"/>
    <cellStyle name="Título 2 13" xfId="953" xr:uid="{00000000-0005-0000-0000-000079040000}"/>
    <cellStyle name="Título 2 14" xfId="954" xr:uid="{00000000-0005-0000-0000-00007A040000}"/>
    <cellStyle name="Título 2 15" xfId="955" xr:uid="{00000000-0005-0000-0000-00007B040000}"/>
    <cellStyle name="Título 2 16" xfId="956" xr:uid="{00000000-0005-0000-0000-00007C040000}"/>
    <cellStyle name="Título 2 17" xfId="957" xr:uid="{00000000-0005-0000-0000-00007D040000}"/>
    <cellStyle name="Título 2 18" xfId="958" xr:uid="{00000000-0005-0000-0000-00007E040000}"/>
    <cellStyle name="Título 2 19" xfId="959" xr:uid="{00000000-0005-0000-0000-00007F040000}"/>
    <cellStyle name="Título 2 2" xfId="960" xr:uid="{00000000-0005-0000-0000-000080040000}"/>
    <cellStyle name="Título 2 3" xfId="961" xr:uid="{00000000-0005-0000-0000-000081040000}"/>
    <cellStyle name="Título 2 4" xfId="962" xr:uid="{00000000-0005-0000-0000-000082040000}"/>
    <cellStyle name="Título 2 5" xfId="963" xr:uid="{00000000-0005-0000-0000-000083040000}"/>
    <cellStyle name="Título 2 6" xfId="964" xr:uid="{00000000-0005-0000-0000-000084040000}"/>
    <cellStyle name="Título 2 7" xfId="965" xr:uid="{00000000-0005-0000-0000-000085040000}"/>
    <cellStyle name="Título 2 8" xfId="966" xr:uid="{00000000-0005-0000-0000-000086040000}"/>
    <cellStyle name="Título 2 9" xfId="967" xr:uid="{00000000-0005-0000-0000-000087040000}"/>
    <cellStyle name="Título 20" xfId="968" xr:uid="{00000000-0005-0000-0000-000088040000}"/>
    <cellStyle name="Título 21" xfId="969" xr:uid="{00000000-0005-0000-0000-000089040000}"/>
    <cellStyle name="Título 3 10" xfId="970" xr:uid="{00000000-0005-0000-0000-00008A040000}"/>
    <cellStyle name="Título 3 11" xfId="971" xr:uid="{00000000-0005-0000-0000-00008B040000}"/>
    <cellStyle name="Título 3 12" xfId="972" xr:uid="{00000000-0005-0000-0000-00008C040000}"/>
    <cellStyle name="Título 3 13" xfId="973" xr:uid="{00000000-0005-0000-0000-00008D040000}"/>
    <cellStyle name="Título 3 14" xfId="974" xr:uid="{00000000-0005-0000-0000-00008E040000}"/>
    <cellStyle name="Título 3 15" xfId="975" xr:uid="{00000000-0005-0000-0000-00008F040000}"/>
    <cellStyle name="Título 3 16" xfId="976" xr:uid="{00000000-0005-0000-0000-000090040000}"/>
    <cellStyle name="Título 3 17" xfId="977" xr:uid="{00000000-0005-0000-0000-000091040000}"/>
    <cellStyle name="Título 3 18" xfId="978" xr:uid="{00000000-0005-0000-0000-000092040000}"/>
    <cellStyle name="Título 3 19" xfId="979" xr:uid="{00000000-0005-0000-0000-000093040000}"/>
    <cellStyle name="Título 3 2" xfId="980" xr:uid="{00000000-0005-0000-0000-000094040000}"/>
    <cellStyle name="Título 3 3" xfId="981" xr:uid="{00000000-0005-0000-0000-000095040000}"/>
    <cellStyle name="Título 3 4" xfId="982" xr:uid="{00000000-0005-0000-0000-000096040000}"/>
    <cellStyle name="Título 3 5" xfId="983" xr:uid="{00000000-0005-0000-0000-000097040000}"/>
    <cellStyle name="Título 3 6" xfId="984" xr:uid="{00000000-0005-0000-0000-000098040000}"/>
    <cellStyle name="Título 3 7" xfId="985" xr:uid="{00000000-0005-0000-0000-000099040000}"/>
    <cellStyle name="Título 3 8" xfId="986" xr:uid="{00000000-0005-0000-0000-00009A040000}"/>
    <cellStyle name="Título 3 9" xfId="987" xr:uid="{00000000-0005-0000-0000-00009B040000}"/>
    <cellStyle name="Título 4" xfId="988" xr:uid="{00000000-0005-0000-0000-00009C040000}"/>
    <cellStyle name="Título 5" xfId="989" xr:uid="{00000000-0005-0000-0000-00009D040000}"/>
    <cellStyle name="Título 6" xfId="990" xr:uid="{00000000-0005-0000-0000-00009E040000}"/>
    <cellStyle name="Título 7" xfId="991" xr:uid="{00000000-0005-0000-0000-00009F040000}"/>
    <cellStyle name="Título 8" xfId="992" xr:uid="{00000000-0005-0000-0000-0000A0040000}"/>
    <cellStyle name="Título 9" xfId="993" xr:uid="{00000000-0005-0000-0000-0000A1040000}"/>
    <cellStyle name="Total 10" xfId="994" xr:uid="{00000000-0005-0000-0000-0000A2040000}"/>
    <cellStyle name="Total 11" xfId="995" xr:uid="{00000000-0005-0000-0000-0000A3040000}"/>
    <cellStyle name="Total 12" xfId="996" xr:uid="{00000000-0005-0000-0000-0000A4040000}"/>
    <cellStyle name="Total 13" xfId="997" xr:uid="{00000000-0005-0000-0000-0000A5040000}"/>
    <cellStyle name="Total 14" xfId="998" xr:uid="{00000000-0005-0000-0000-0000A6040000}"/>
    <cellStyle name="Total 15" xfId="999" xr:uid="{00000000-0005-0000-0000-0000A7040000}"/>
    <cellStyle name="Total 16" xfId="1000" xr:uid="{00000000-0005-0000-0000-0000A8040000}"/>
    <cellStyle name="Total 17" xfId="1001" xr:uid="{00000000-0005-0000-0000-0000A9040000}"/>
    <cellStyle name="Total 18" xfId="1002" xr:uid="{00000000-0005-0000-0000-0000AA040000}"/>
    <cellStyle name="Total 19" xfId="1003" xr:uid="{00000000-0005-0000-0000-0000AB040000}"/>
    <cellStyle name="Total 2" xfId="1004" xr:uid="{00000000-0005-0000-0000-0000AC040000}"/>
    <cellStyle name="Total 3" xfId="1005" xr:uid="{00000000-0005-0000-0000-0000AD040000}"/>
    <cellStyle name="Total 4" xfId="1006" xr:uid="{00000000-0005-0000-0000-0000AE040000}"/>
    <cellStyle name="Total 5" xfId="1007" xr:uid="{00000000-0005-0000-0000-0000AF040000}"/>
    <cellStyle name="Total 6" xfId="1008" xr:uid="{00000000-0005-0000-0000-0000B0040000}"/>
    <cellStyle name="Total 7" xfId="1009" xr:uid="{00000000-0005-0000-0000-0000B1040000}"/>
    <cellStyle name="Total 8" xfId="1010" xr:uid="{00000000-0005-0000-0000-0000B2040000}"/>
    <cellStyle name="Total 9" xfId="1011" xr:uid="{00000000-0005-0000-0000-0000B3040000}"/>
    <cellStyle name="Underline 2" xfId="1012" xr:uid="{00000000-0005-0000-0000-0000B4040000}"/>
    <cellStyle name="Year" xfId="1013" xr:uid="{00000000-0005-0000-0000-0000B5040000}"/>
    <cellStyle name="Year 2" xfId="1014" xr:uid="{00000000-0005-0000-0000-0000B6040000}"/>
    <cellStyle name="Year 2 2" xfId="1208" xr:uid="{00000000-0005-0000-0000-0000B7040000}"/>
    <cellStyle name="Year 3" xfId="1015" xr:uid="{00000000-0005-0000-0000-0000B8040000}"/>
    <cellStyle name="Year 3 2" xfId="1209" xr:uid="{00000000-0005-0000-0000-0000B9040000}"/>
    <cellStyle name="Year 4" xfId="1016" xr:uid="{00000000-0005-0000-0000-0000BA040000}"/>
    <cellStyle name="Year 4 2" xfId="1210" xr:uid="{00000000-0005-0000-0000-0000BB040000}"/>
    <cellStyle name="Year 5" xfId="1207" xr:uid="{00000000-0005-0000-0000-0000BC04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8E8E8"/>
      <rgbColor rgb="00808080"/>
      <rgbColor rgb="003A74BA"/>
      <rgbColor rgb="007CC7EF"/>
      <rgbColor rgb="00984E88"/>
      <rgbColor rgb="00A49A00"/>
      <rgbColor rgb="0000A651"/>
      <rgbColor rgb="00000000"/>
      <rgbColor rgb="000066CC"/>
      <rgbColor rgb="00CCCCFF"/>
      <rgbColor rgb="00E7E7E7"/>
      <rgbColor rgb="00F3F3F3"/>
      <rgbColor rgb="00FFFF00"/>
      <rgbColor rgb="0000FFFF"/>
      <rgbColor rgb="00800080"/>
      <rgbColor rgb="00800000"/>
      <rgbColor rgb="00008080"/>
      <rgbColor rgb="0032BCA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7226C"/>
      <color rgb="FF7CC7EF"/>
      <color rgb="FFB7B7B7"/>
      <color rgb="FF006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Producción Acero Crudo 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748519056189145E-4"/>
          <c:y val="1.29754614006582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61342775939988E-2"/>
          <c:y val="0.1793276158951469"/>
          <c:w val="0.90095190172234396"/>
          <c:h val="0.75021226513352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gráficos'!$C$3:$N$3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gráficos'!$C$4:$N$4</c:f>
              <c:numCache>
                <c:formatCode>#,##0</c:formatCode>
                <c:ptCount val="12"/>
                <c:pt idx="0">
                  <c:v>5325.2992470000008</c:v>
                </c:pt>
                <c:pt idx="1">
                  <c:v>5187.1077978132089</c:v>
                </c:pt>
                <c:pt idx="2">
                  <c:v>5808.5711672799998</c:v>
                </c:pt>
                <c:pt idx="3">
                  <c:v>5547.9762962200002</c:v>
                </c:pt>
                <c:pt idx="4">
                  <c:v>5259.6595426287331</c:v>
                </c:pt>
                <c:pt idx="5">
                  <c:v>5468.3278346739562</c:v>
                </c:pt>
                <c:pt idx="6">
                  <c:v>5674.2147429999995</c:v>
                </c:pt>
                <c:pt idx="7">
                  <c:v>5405.8249999999998</c:v>
                </c:pt>
                <c:pt idx="8">
                  <c:v>5524.8232467999997</c:v>
                </c:pt>
                <c:pt idx="9">
                  <c:v>5603.0777999999991</c:v>
                </c:pt>
                <c:pt idx="10">
                  <c:v>5275.3356000000003</c:v>
                </c:pt>
                <c:pt idx="11">
                  <c:v>5023.2709259999992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D-4881-A967-DC6843D39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30826768"/>
        <c:axId val="630827328"/>
      </c:barChart>
      <c:lineChart>
        <c:grouping val="standard"/>
        <c:varyColors val="0"/>
        <c:ser>
          <c:idx val="1"/>
          <c:order val="1"/>
          <c:tx>
            <c:strRef>
              <c:f>'Cifras gráficos'!$B$5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gráficos'!$C$5:$N$5</c:f>
              <c:numCache>
                <c:formatCode>#,##0</c:formatCode>
                <c:ptCount val="12"/>
                <c:pt idx="0">
                  <c:v>5221.3945160000003</c:v>
                </c:pt>
                <c:pt idx="1">
                  <c:v>4959.517679999999</c:v>
                </c:pt>
                <c:pt idx="2">
                  <c:v>5416.6609871000001</c:v>
                </c:pt>
                <c:pt idx="3">
                  <c:v>5297.3519947300001</c:v>
                </c:pt>
                <c:pt idx="4">
                  <c:v>5522.9754466699997</c:v>
                </c:pt>
                <c:pt idx="5">
                  <c:v>5146.7383465359999</c:v>
                </c:pt>
                <c:pt idx="6">
                  <c:v>5389.4410699999989</c:v>
                </c:pt>
                <c:pt idx="7">
                  <c:v>5428.359130068</c:v>
                </c:pt>
                <c:pt idx="8">
                  <c:v>5422.757114</c:v>
                </c:pt>
                <c:pt idx="9">
                  <c:v>5589.3299059999999</c:v>
                </c:pt>
                <c:pt idx="10">
                  <c:v>5559.3149487000001</c:v>
                </c:pt>
                <c:pt idx="11">
                  <c:v>5274.8798529999995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D-4881-A967-DC6843D39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26768"/>
        <c:axId val="630827328"/>
      </c:lineChart>
      <c:catAx>
        <c:axId val="63082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08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27328"/>
        <c:scaling>
          <c:orientation val="minMax"/>
        </c:scaling>
        <c:delete val="0"/>
        <c:axPos val="l"/>
        <c:minorGridlines>
          <c:spPr>
            <a:ln w="3175">
              <a:solidFill>
                <a:srgbClr val="B7B7B7"/>
              </a:solidFill>
              <a:prstDash val="sysDot"/>
            </a:ln>
          </c:spPr>
        </c:min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0826768"/>
        <c:crosses val="autoZero"/>
        <c:crossBetween val="between"/>
        <c:minorUnit val="500"/>
      </c:valAx>
    </c:plotArea>
    <c:legend>
      <c:legendPos val="t"/>
      <c:layout>
        <c:manualLayout>
          <c:xMode val="edge"/>
          <c:yMode val="edge"/>
          <c:x val="1.8683894407579821E-4"/>
          <c:y val="6.5343915343915357E-2"/>
          <c:w val="0.36372469007236286"/>
          <c:h val="5.5747335701487911E-2"/>
        </c:manualLayout>
      </c:layout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Consumo Aparente de Laminados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8741556868357434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44549589582768"/>
          <c:y val="0.18276872297547292"/>
          <c:w val="0.8678717637077541"/>
          <c:h val="0.74133350068503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gráficos'!$C$52:$N$52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gráficos'!$C$53:$N$53</c:f>
              <c:numCache>
                <c:formatCode>#,##0</c:formatCode>
                <c:ptCount val="12"/>
                <c:pt idx="0">
                  <c:v>5593.7779230013184</c:v>
                </c:pt>
                <c:pt idx="1">
                  <c:v>5133.7387807531986</c:v>
                </c:pt>
                <c:pt idx="2">
                  <c:v>5726.3118033223</c:v>
                </c:pt>
                <c:pt idx="3">
                  <c:v>5710.7518964973997</c:v>
                </c:pt>
                <c:pt idx="4">
                  <c:v>5438.5629479602994</c:v>
                </c:pt>
                <c:pt idx="5">
                  <c:v>5893.409539935099</c:v>
                </c:pt>
                <c:pt idx="6">
                  <c:v>5645.5609775047978</c:v>
                </c:pt>
                <c:pt idx="7">
                  <c:v>5889.8631970393499</c:v>
                </c:pt>
                <c:pt idx="8">
                  <c:v>5465.7148976032977</c:v>
                </c:pt>
                <c:pt idx="9">
                  <c:v>5688.2141364004992</c:v>
                </c:pt>
                <c:pt idx="10">
                  <c:v>5355.3710443000009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9-4501-927A-8EFE35310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829840"/>
        <c:axId val="637830400"/>
      </c:barChart>
      <c:lineChart>
        <c:grouping val="standard"/>
        <c:varyColors val="0"/>
        <c:ser>
          <c:idx val="1"/>
          <c:order val="1"/>
          <c:tx>
            <c:strRef>
              <c:f>'Cifras gráficos'!$B$54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gráficos'!$C$54:$N$54</c:f>
              <c:numCache>
                <c:formatCode>#,##0</c:formatCode>
                <c:ptCount val="12"/>
                <c:pt idx="0">
                  <c:v>5432.7383948956658</c:v>
                </c:pt>
                <c:pt idx="1">
                  <c:v>4974.1441879705662</c:v>
                </c:pt>
                <c:pt idx="2">
                  <c:v>5982.3124611199664</c:v>
                </c:pt>
                <c:pt idx="3">
                  <c:v>5399.3485532312998</c:v>
                </c:pt>
                <c:pt idx="4">
                  <c:v>5865.5201555568547</c:v>
                </c:pt>
                <c:pt idx="5">
                  <c:v>5926.3186858089011</c:v>
                </c:pt>
                <c:pt idx="6">
                  <c:v>5641.8575310679771</c:v>
                </c:pt>
                <c:pt idx="7">
                  <c:v>5900.8521601082675</c:v>
                </c:pt>
                <c:pt idx="8">
                  <c:v>5708.0457015631191</c:v>
                </c:pt>
                <c:pt idx="9">
                  <c:v>5563.2177580914868</c:v>
                </c:pt>
                <c:pt idx="10">
                  <c:v>5323.7974542027878</c:v>
                </c:pt>
                <c:pt idx="11">
                  <c:v>5231.0699653946695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9-4501-927A-8EFE35310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829840"/>
        <c:axId val="637830400"/>
      </c:lineChart>
      <c:catAx>
        <c:axId val="63782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783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7830400"/>
        <c:scaling>
          <c:orientation val="minMax"/>
        </c:scaling>
        <c:delete val="0"/>
        <c:axPos val="l"/>
        <c:majorGridlines>
          <c:spPr>
            <a:ln w="3175">
              <a:solidFill>
                <a:srgbClr val="B7B7B7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7829840"/>
        <c:crosses val="autoZero"/>
        <c:crossBetween val="between"/>
        <c:minorUnit val="500"/>
      </c:valAx>
    </c:plotArea>
    <c:legend>
      <c:legendPos val="r"/>
      <c:layout>
        <c:manualLayout>
          <c:xMode val="edge"/>
          <c:yMode val="edge"/>
          <c:x val="4.9856002355182986E-4"/>
          <c:y val="4.3836063888023573E-2"/>
          <c:w val="0.30807077435092678"/>
          <c:h val="7.402439503872780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Consumo Aparente de Largos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8454649832432778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96151409914741"/>
          <c:y val="0.18276872297547292"/>
          <c:w val="0.86717367433698822"/>
          <c:h val="0.74133350068503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gráficos'!$C$58:$N$58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gráficos'!$C$59:$N$59</c:f>
              <c:numCache>
                <c:formatCode>#,##0</c:formatCode>
                <c:ptCount val="12"/>
                <c:pt idx="0">
                  <c:v>2266.6165133118184</c:v>
                </c:pt>
                <c:pt idx="1">
                  <c:v>2248.1051565367998</c:v>
                </c:pt>
                <c:pt idx="2">
                  <c:v>2393.4072231149003</c:v>
                </c:pt>
                <c:pt idx="3">
                  <c:v>2351.1074547355497</c:v>
                </c:pt>
                <c:pt idx="4">
                  <c:v>2427.3665779663997</c:v>
                </c:pt>
                <c:pt idx="5">
                  <c:v>2404.7744122166005</c:v>
                </c:pt>
                <c:pt idx="6">
                  <c:v>2480.0332212019989</c:v>
                </c:pt>
                <c:pt idx="7">
                  <c:v>2432.7374863794107</c:v>
                </c:pt>
                <c:pt idx="8">
                  <c:v>2354.4616353951983</c:v>
                </c:pt>
                <c:pt idx="9">
                  <c:v>2428.3045214886997</c:v>
                </c:pt>
                <c:pt idx="10">
                  <c:v>2241.118443540001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2-4F31-BF31-5BCC5407F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037120"/>
        <c:axId val="638037680"/>
      </c:barChart>
      <c:lineChart>
        <c:grouping val="standard"/>
        <c:varyColors val="0"/>
        <c:ser>
          <c:idx val="1"/>
          <c:order val="1"/>
          <c:tx>
            <c:strRef>
              <c:f>'Cifras gráficos'!$B$60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gráficos'!$C$60:$N$60</c:f>
              <c:numCache>
                <c:formatCode>#,##0</c:formatCode>
                <c:ptCount val="12"/>
                <c:pt idx="0">
                  <c:v>2255.7785940399654</c:v>
                </c:pt>
                <c:pt idx="1">
                  <c:v>2210.6981233709653</c:v>
                </c:pt>
                <c:pt idx="2">
                  <c:v>2467.6990093149652</c:v>
                </c:pt>
                <c:pt idx="3">
                  <c:v>2319.5491028218962</c:v>
                </c:pt>
                <c:pt idx="4">
                  <c:v>2375.6155873882358</c:v>
                </c:pt>
                <c:pt idx="5">
                  <c:v>2327.2583384931972</c:v>
                </c:pt>
                <c:pt idx="6">
                  <c:v>2239.3319384437477</c:v>
                </c:pt>
                <c:pt idx="7">
                  <c:v>2328.1113248527386</c:v>
                </c:pt>
                <c:pt idx="8">
                  <c:v>2234.6488451458745</c:v>
                </c:pt>
                <c:pt idx="9">
                  <c:v>2324.885589299919</c:v>
                </c:pt>
                <c:pt idx="10">
                  <c:v>2238.9359910905191</c:v>
                </c:pt>
                <c:pt idx="11">
                  <c:v>2096.246586116416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2-4F31-BF31-5BCC5407F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37120"/>
        <c:axId val="638037680"/>
      </c:lineChart>
      <c:catAx>
        <c:axId val="6380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803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037680"/>
        <c:scaling>
          <c:orientation val="minMax"/>
        </c:scaling>
        <c:delete val="0"/>
        <c:axPos val="l"/>
        <c:majorGridlines>
          <c:spPr>
            <a:ln w="3175">
              <a:solidFill>
                <a:srgbClr val="B7B7B7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803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10088671511518E-3"/>
          <c:y val="5.3438623764142976E-2"/>
          <c:w val="0.31895020461585838"/>
          <c:h val="7.0823541746687993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Consumo Aparente de Planos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8660900039471499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44549589582768"/>
          <c:y val="0.17956786968343308"/>
          <c:w val="0.8678717637077541"/>
          <c:h val="0.74453435397707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gráficos'!$B$65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gráficos'!$C$64:$N$64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gráficos'!$C$65:$N$65</c:f>
              <c:numCache>
                <c:formatCode>#,##0</c:formatCode>
                <c:ptCount val="12"/>
                <c:pt idx="0">
                  <c:v>3213.4315107948996</c:v>
                </c:pt>
                <c:pt idx="1">
                  <c:v>2845.5256542318994</c:v>
                </c:pt>
                <c:pt idx="2">
                  <c:v>3256.5515680312001</c:v>
                </c:pt>
                <c:pt idx="3">
                  <c:v>3375.93488104875</c:v>
                </c:pt>
                <c:pt idx="4">
                  <c:v>3420.8834135005</c:v>
                </c:pt>
                <c:pt idx="5">
                  <c:v>3104.2578321619999</c:v>
                </c:pt>
                <c:pt idx="6">
                  <c:v>3066.9685029908001</c:v>
                </c:pt>
                <c:pt idx="7">
                  <c:v>3043.1372256478198</c:v>
                </c:pt>
                <c:pt idx="8">
                  <c:v>3232.1273613268004</c:v>
                </c:pt>
                <c:pt idx="9">
                  <c:v>3212.4558999979004</c:v>
                </c:pt>
                <c:pt idx="10">
                  <c:v>3105.5624715100003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D-41BC-A8BC-4739EECB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041040"/>
        <c:axId val="638041600"/>
      </c:barChart>
      <c:lineChart>
        <c:grouping val="standard"/>
        <c:varyColors val="0"/>
        <c:ser>
          <c:idx val="1"/>
          <c:order val="1"/>
          <c:tx>
            <c:strRef>
              <c:f>'Cifras gráficos'!$B$66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gráficos'!$C$66:$N$66</c:f>
              <c:numCache>
                <c:formatCode>#,##0</c:formatCode>
                <c:ptCount val="12"/>
                <c:pt idx="0">
                  <c:v>3218.1682067413303</c:v>
                </c:pt>
                <c:pt idx="1">
                  <c:v>2847.918904158631</c:v>
                </c:pt>
                <c:pt idx="2">
                  <c:v>3400.2257374342303</c:v>
                </c:pt>
                <c:pt idx="3">
                  <c:v>3333.4462642013268</c:v>
                </c:pt>
                <c:pt idx="4">
                  <c:v>3342.7937151876422</c:v>
                </c:pt>
                <c:pt idx="5">
                  <c:v>3302.3139995858264</c:v>
                </c:pt>
                <c:pt idx="6">
                  <c:v>3373.2554081278086</c:v>
                </c:pt>
                <c:pt idx="7">
                  <c:v>3302.5308995167074</c:v>
                </c:pt>
                <c:pt idx="8">
                  <c:v>3200.0067485941236</c:v>
                </c:pt>
                <c:pt idx="9">
                  <c:v>3230.3540077692005</c:v>
                </c:pt>
                <c:pt idx="10">
                  <c:v>3017.9296900744002</c:v>
                </c:pt>
                <c:pt idx="11">
                  <c:v>2826.4384858243848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D-41BC-A8BC-4739EECB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41040"/>
        <c:axId val="638041600"/>
      </c:lineChart>
      <c:catAx>
        <c:axId val="63804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804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0416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8041040"/>
        <c:crosses val="autoZero"/>
        <c:crossBetween val="between"/>
        <c:minorUnit val="500"/>
      </c:valAx>
    </c:plotArea>
    <c:legend>
      <c:legendPos val="r"/>
      <c:layout>
        <c:manualLayout>
          <c:xMode val="edge"/>
          <c:yMode val="edge"/>
          <c:x val="4.9856002355179408E-4"/>
          <c:y val="6.3041183640262399E-2"/>
          <c:w val="0.32087504593658456"/>
          <c:h val="5.161842199444916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t" anchorCtr="1"/>
          <a:lstStyle/>
          <a:p>
            <a:pPr algn="l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Consumo Aparente de Tubos sin Costura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3023893955857787E-3"/>
          <c:y val="0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2831626699444"/>
          <c:y val="0.17956786968343308"/>
          <c:w val="0.88809830898953201"/>
          <c:h val="0.74453435397707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gráficos'!$B$71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gráficos'!$C$3:$N$3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gráficos'!$C$71:$N$71</c:f>
              <c:numCache>
                <c:formatCode>#,##0</c:formatCode>
                <c:ptCount val="12"/>
                <c:pt idx="0">
                  <c:v>80.947898894600002</c:v>
                </c:pt>
                <c:pt idx="1">
                  <c:v>33.722969984499962</c:v>
                </c:pt>
                <c:pt idx="2">
                  <c:v>99.510012176200007</c:v>
                </c:pt>
                <c:pt idx="3">
                  <c:v>99.384560713099987</c:v>
                </c:pt>
                <c:pt idx="4">
                  <c:v>66.189956493400004</c:v>
                </c:pt>
                <c:pt idx="5">
                  <c:v>75.361295556499996</c:v>
                </c:pt>
                <c:pt idx="6">
                  <c:v>87.954253311999977</c:v>
                </c:pt>
                <c:pt idx="7">
                  <c:v>82.037485012119987</c:v>
                </c:pt>
                <c:pt idx="8">
                  <c:v>69.941900881300029</c:v>
                </c:pt>
                <c:pt idx="9">
                  <c:v>114.5497149139</c:v>
                </c:pt>
                <c:pt idx="10">
                  <c:v>83.821129249999998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7-4C21-96E2-8D8C2840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878960"/>
        <c:axId val="638879520"/>
      </c:barChart>
      <c:lineChart>
        <c:grouping val="standard"/>
        <c:varyColors val="0"/>
        <c:ser>
          <c:idx val="1"/>
          <c:order val="1"/>
          <c:tx>
            <c:strRef>
              <c:f>'Cifras gráficos'!$B$72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'Cifras gráficos'!$C$70:$N$70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gráficos'!$C$72:$N$72</c:f>
              <c:numCache>
                <c:formatCode>#,##0</c:formatCode>
                <c:ptCount val="12"/>
                <c:pt idx="0">
                  <c:v>61.031594114370435</c:v>
                </c:pt>
                <c:pt idx="1">
                  <c:v>23.637160440970423</c:v>
                </c:pt>
                <c:pt idx="2">
                  <c:v>111.90471437077045</c:v>
                </c:pt>
                <c:pt idx="3">
                  <c:v>81.680186208076861</c:v>
                </c:pt>
                <c:pt idx="4">
                  <c:v>81.045852980976875</c:v>
                </c:pt>
                <c:pt idx="5">
                  <c:v>93.503347729876879</c:v>
                </c:pt>
                <c:pt idx="6">
                  <c:v>58.299184496420118</c:v>
                </c:pt>
                <c:pt idx="7">
                  <c:v>101.02093573882013</c:v>
                </c:pt>
                <c:pt idx="8">
                  <c:v>71.582107823120111</c:v>
                </c:pt>
                <c:pt idx="9">
                  <c:v>91.711161022368429</c:v>
                </c:pt>
                <c:pt idx="10">
                  <c:v>71.18177303786851</c:v>
                </c:pt>
                <c:pt idx="11">
                  <c:v>72.570893453868464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7-4C21-96E2-8D8C2840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78960"/>
        <c:axId val="638879520"/>
      </c:lineChart>
      <c:catAx>
        <c:axId val="63887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88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879520"/>
        <c:scaling>
          <c:orientation val="minMax"/>
        </c:scaling>
        <c:delete val="0"/>
        <c:axPos val="l"/>
        <c:majorGridlines>
          <c:spPr>
            <a:ln w="3175">
              <a:solidFill>
                <a:srgbClr val="B7B7B7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887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655981863132851E-3"/>
          <c:y val="6.9442890224341997E-2"/>
          <c:w val="0.52990165739772044"/>
          <c:h val="5.4819275286488972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'Consumo Aparente 2016'!$V$3:$V$20</c:f>
              <c:strCache>
                <c:ptCount val="18"/>
                <c:pt idx="0">
                  <c:v>México / Mexico</c:v>
                </c:pt>
                <c:pt idx="1">
                  <c:v>Honduras</c:v>
                </c:pt>
                <c:pt idx="2">
                  <c:v>Guatemala</c:v>
                </c:pt>
                <c:pt idx="3">
                  <c:v>Perú / Peru</c:v>
                </c:pt>
                <c:pt idx="4">
                  <c:v>República Dominicana / Dominican Republic</c:v>
                </c:pt>
                <c:pt idx="5">
                  <c:v>Panamá</c:v>
                </c:pt>
                <c:pt idx="6">
                  <c:v> </c:v>
                </c:pt>
                <c:pt idx="7">
                  <c:v>Uruguay</c:v>
                </c:pt>
                <c:pt idx="8">
                  <c:v>El Salvador</c:v>
                </c:pt>
                <c:pt idx="9">
                  <c:v>Colombia</c:v>
                </c:pt>
                <c:pt idx="10">
                  <c:v>Costa Rica</c:v>
                </c:pt>
                <c:pt idx="11">
                  <c:v>Paraguay</c:v>
                </c:pt>
                <c:pt idx="12">
                  <c:v>Chile</c:v>
                </c:pt>
                <c:pt idx="13">
                  <c:v>Ecuador</c:v>
                </c:pt>
                <c:pt idx="14">
                  <c:v>Argentina</c:v>
                </c:pt>
                <c:pt idx="15">
                  <c:v>Venezuela</c:v>
                </c:pt>
                <c:pt idx="16">
                  <c:v>Brasil / Brazil</c:v>
                </c:pt>
                <c:pt idx="17">
                  <c:v>América Latina / Latin America</c:v>
                </c:pt>
              </c:strCache>
            </c:strRef>
          </c:cat>
          <c:val>
            <c:numRef>
              <c:f>'Consumo Aparente 2016'!$Y$3:$Y$20</c:f>
              <c:numCache>
                <c:formatCode>#,##0</c:formatCode>
                <c:ptCount val="18"/>
                <c:pt idx="0">
                  <c:v>92.940035442999033</c:v>
                </c:pt>
                <c:pt idx="1">
                  <c:v>23.892492130000008</c:v>
                </c:pt>
                <c:pt idx="2">
                  <c:v>4.6084638013333574</c:v>
                </c:pt>
                <c:pt idx="3">
                  <c:v>3.2786751989997356</c:v>
                </c:pt>
                <c:pt idx="4">
                  <c:v>2.7853800000000035</c:v>
                </c:pt>
                <c:pt idx="5">
                  <c:v>-8.600018040000009</c:v>
                </c:pt>
                <c:pt idx="6">
                  <c:v>-9.0126922677776804</c:v>
                </c:pt>
                <c:pt idx="7">
                  <c:v>-15.459457135453334</c:v>
                </c:pt>
                <c:pt idx="8">
                  <c:v>-17.821070090666637</c:v>
                </c:pt>
                <c:pt idx="9">
                  <c:v>-18.576010500000166</c:v>
                </c:pt>
                <c:pt idx="10">
                  <c:v>-19.639469805333306</c:v>
                </c:pt>
                <c:pt idx="11">
                  <c:v>-20.141662031159981</c:v>
                </c:pt>
                <c:pt idx="12">
                  <c:v>-54.044485420001365</c:v>
                </c:pt>
                <c:pt idx="13">
                  <c:v>-78.373305670000036</c:v>
                </c:pt>
                <c:pt idx="14">
                  <c:v>-144.5866168996522</c:v>
                </c:pt>
                <c:pt idx="15">
                  <c:v>-901.54445121333356</c:v>
                </c:pt>
                <c:pt idx="16">
                  <c:v>-2476.5259999999998</c:v>
                </c:pt>
                <c:pt idx="17">
                  <c:v>-4032.2871925000436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8-447E-B002-4F339FF23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882320"/>
        <c:axId val="638882880"/>
      </c:barChart>
      <c:catAx>
        <c:axId val="6388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8882880"/>
        <c:crosses val="autoZero"/>
        <c:auto val="1"/>
        <c:lblAlgn val="ctr"/>
        <c:lblOffset val="100"/>
        <c:noMultiLvlLbl val="0"/>
      </c:catAx>
      <c:valAx>
        <c:axId val="63888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88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Producción Tubos sin Costura</a:t>
            </a:r>
            <a:endParaRPr lang="es-CL" sz="11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6.3067573585750788E-4"/>
          <c:y val="5.29100529100529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75115919356991"/>
          <c:y val="0.18085322667999834"/>
          <c:w val="0.86986407186562886"/>
          <c:h val="0.7427667374911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gráficos'!$C$27:$N$27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gráficos'!$C$28:$N$28</c:f>
              <c:numCache>
                <c:formatCode>#,##0</c:formatCode>
                <c:ptCount val="12"/>
                <c:pt idx="0">
                  <c:v>120.62899999999999</c:v>
                </c:pt>
                <c:pt idx="1">
                  <c:v>116.90100000000001</c:v>
                </c:pt>
                <c:pt idx="2">
                  <c:v>157.11200000000002</c:v>
                </c:pt>
                <c:pt idx="3">
                  <c:v>161.49200000000002</c:v>
                </c:pt>
                <c:pt idx="4">
                  <c:v>133.21100000000001</c:v>
                </c:pt>
                <c:pt idx="5">
                  <c:v>141.08000000000001</c:v>
                </c:pt>
                <c:pt idx="6">
                  <c:v>148.488</c:v>
                </c:pt>
                <c:pt idx="7">
                  <c:v>159.76599999999999</c:v>
                </c:pt>
                <c:pt idx="8">
                  <c:v>142.50200000000001</c:v>
                </c:pt>
                <c:pt idx="9">
                  <c:v>147.52000000000001</c:v>
                </c:pt>
                <c:pt idx="10">
                  <c:v>130.137</c:v>
                </c:pt>
                <c:pt idx="11">
                  <c:v>104.42099999999999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0-44FB-BCE6-05DA5FCC5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432624"/>
        <c:axId val="634433184"/>
      </c:barChart>
      <c:lineChart>
        <c:grouping val="standard"/>
        <c:varyColors val="0"/>
        <c:ser>
          <c:idx val="1"/>
          <c:order val="1"/>
          <c:tx>
            <c:strRef>
              <c:f>'Cifras gráficos'!$B$29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gráficos'!$C$29:$N$29</c:f>
              <c:numCache>
                <c:formatCode>#,##0</c:formatCode>
                <c:ptCount val="12"/>
                <c:pt idx="0">
                  <c:v>118.36699999999999</c:v>
                </c:pt>
                <c:pt idx="1">
                  <c:v>91.676000000000002</c:v>
                </c:pt>
                <c:pt idx="2">
                  <c:v>138.37299999999999</c:v>
                </c:pt>
                <c:pt idx="3">
                  <c:v>127.05</c:v>
                </c:pt>
                <c:pt idx="4">
                  <c:v>119.295</c:v>
                </c:pt>
                <c:pt idx="5">
                  <c:v>138.89100000000002</c:v>
                </c:pt>
                <c:pt idx="6">
                  <c:v>124.178</c:v>
                </c:pt>
                <c:pt idx="7">
                  <c:v>125.223</c:v>
                </c:pt>
                <c:pt idx="8">
                  <c:v>137.00900000000001</c:v>
                </c:pt>
                <c:pt idx="9">
                  <c:v>150.40800000000002</c:v>
                </c:pt>
                <c:pt idx="10">
                  <c:v>141.71100000000001</c:v>
                </c:pt>
                <c:pt idx="11">
                  <c:v>147.81799999999998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0-44FB-BCE6-05DA5FCC5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432624"/>
        <c:axId val="634433184"/>
      </c:lineChart>
      <c:catAx>
        <c:axId val="63443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4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4331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43262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6.5456496827635672E-4"/>
          <c:y val="6.3942423863683706E-2"/>
          <c:w val="0.39894615794504318"/>
          <c:h val="4.6982877140357447E-2"/>
        </c:manualLayout>
      </c:layout>
      <c:overlay val="0"/>
      <c:txPr>
        <a:bodyPr anchor="t" anchorCtr="0"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Producción Largos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748519056189235E-4"/>
          <c:y val="1.29754614006582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61342775939988E-2"/>
          <c:y val="0.1793276158951469"/>
          <c:w val="0.90095190172234396"/>
          <c:h val="0.75021226513352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gráficos'!$C$15:$N$15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gráficos'!$C$16:$N$16</c:f>
              <c:numCache>
                <c:formatCode>#,##0</c:formatCode>
                <c:ptCount val="12"/>
                <c:pt idx="0">
                  <c:v>2088.225666160999</c:v>
                </c:pt>
                <c:pt idx="1">
                  <c:v>2112.0265241730003</c:v>
                </c:pt>
                <c:pt idx="2">
                  <c:v>2350.3130525130005</c:v>
                </c:pt>
                <c:pt idx="3">
                  <c:v>2213.3501825579997</c:v>
                </c:pt>
                <c:pt idx="4">
                  <c:v>2180.6651951980007</c:v>
                </c:pt>
                <c:pt idx="5">
                  <c:v>2210.9991892370003</c:v>
                </c:pt>
                <c:pt idx="6">
                  <c:v>2248.2558359999994</c:v>
                </c:pt>
                <c:pt idx="7">
                  <c:v>2155.0231279999998</c:v>
                </c:pt>
                <c:pt idx="8">
                  <c:v>2153.260480999998</c:v>
                </c:pt>
                <c:pt idx="9">
                  <c:v>2215.3403619999999</c:v>
                </c:pt>
                <c:pt idx="10">
                  <c:v>2114.2815750000004</c:v>
                </c:pt>
                <c:pt idx="11">
                  <c:v>1863.5186670000012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FAF-9877-F8869315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34436544"/>
        <c:axId val="634437104"/>
      </c:barChart>
      <c:lineChart>
        <c:grouping val="standard"/>
        <c:varyColors val="0"/>
        <c:ser>
          <c:idx val="1"/>
          <c:order val="1"/>
          <c:tx>
            <c:strRef>
              <c:f>'Cifras gráficos'!$B$17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gráficos'!$C$17:$N$17</c:f>
              <c:numCache>
                <c:formatCode>#,##0</c:formatCode>
                <c:ptCount val="12"/>
                <c:pt idx="0">
                  <c:v>2033.0215689549993</c:v>
                </c:pt>
                <c:pt idx="1">
                  <c:v>2021.8508150000005</c:v>
                </c:pt>
                <c:pt idx="2">
                  <c:v>2213.6992804519991</c:v>
                </c:pt>
                <c:pt idx="3">
                  <c:v>2102.3963329999992</c:v>
                </c:pt>
                <c:pt idx="4">
                  <c:v>2175.8757460000006</c:v>
                </c:pt>
                <c:pt idx="5">
                  <c:v>2127.7451774950005</c:v>
                </c:pt>
                <c:pt idx="6">
                  <c:v>2101.2672803370001</c:v>
                </c:pt>
                <c:pt idx="7">
                  <c:v>2138.7871941230005</c:v>
                </c:pt>
                <c:pt idx="8">
                  <c:v>2089.0578041089984</c:v>
                </c:pt>
                <c:pt idx="9">
                  <c:v>2196.7087560609993</c:v>
                </c:pt>
                <c:pt idx="10">
                  <c:v>2172.0564368090004</c:v>
                </c:pt>
                <c:pt idx="11">
                  <c:v>2033.167346081997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D-4FAF-9877-F8869315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436544"/>
        <c:axId val="634437104"/>
      </c:lineChart>
      <c:catAx>
        <c:axId val="6344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43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437104"/>
        <c:scaling>
          <c:orientation val="minMax"/>
        </c:scaling>
        <c:delete val="0"/>
        <c:axPos val="l"/>
        <c:minorGridlines>
          <c:spPr>
            <a:ln w="3175">
              <a:prstDash val="sysDot"/>
            </a:ln>
          </c:spPr>
        </c:min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436544"/>
        <c:crosses val="autoZero"/>
        <c:crossBetween val="between"/>
        <c:minorUnit val="500"/>
      </c:valAx>
    </c:plotArea>
    <c:legend>
      <c:legendPos val="t"/>
      <c:layout>
        <c:manualLayout>
          <c:xMode val="edge"/>
          <c:yMode val="edge"/>
          <c:x val="1.8683894407579821E-4"/>
          <c:y val="6.5343915343915357E-2"/>
          <c:w val="0.40561427137715389"/>
          <c:h val="5.3914718993459142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Producción Planos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748519056189235E-4"/>
          <c:y val="1.29754614006582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61342775939988E-2"/>
          <c:y val="0.1793276158951469"/>
          <c:w val="0.90095190172234396"/>
          <c:h val="0.75021226513352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gráficos'!$C$21:$N$21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gráficos'!$C$22:$N$22</c:f>
              <c:numCache>
                <c:formatCode>#,##0</c:formatCode>
                <c:ptCount val="12"/>
                <c:pt idx="0">
                  <c:v>2215.5136585730002</c:v>
                </c:pt>
                <c:pt idx="1">
                  <c:v>2101.5094989069999</c:v>
                </c:pt>
                <c:pt idx="2">
                  <c:v>2381.8064632099999</c:v>
                </c:pt>
                <c:pt idx="3">
                  <c:v>2306.9472535580007</c:v>
                </c:pt>
                <c:pt idx="4">
                  <c:v>2285.9477574119996</c:v>
                </c:pt>
                <c:pt idx="5">
                  <c:v>2152.4285985040001</c:v>
                </c:pt>
                <c:pt idx="6">
                  <c:v>2122.9318494899999</c:v>
                </c:pt>
                <c:pt idx="7">
                  <c:v>2064.7530000000002</c:v>
                </c:pt>
                <c:pt idx="8">
                  <c:v>2214.1770000000001</c:v>
                </c:pt>
                <c:pt idx="9">
                  <c:v>2238.076</c:v>
                </c:pt>
                <c:pt idx="10">
                  <c:v>2094.5360000000001</c:v>
                </c:pt>
                <c:pt idx="11">
                  <c:v>2025.3700000000001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B-4E52-96ED-27B5628AC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34609808"/>
        <c:axId val="634610368"/>
      </c:barChart>
      <c:lineChart>
        <c:grouping val="standard"/>
        <c:varyColors val="0"/>
        <c:ser>
          <c:idx val="1"/>
          <c:order val="1"/>
          <c:tx>
            <c:strRef>
              <c:f>'Cifras gráficos'!$B$23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gráficos'!$C$23:$N$23</c:f>
              <c:numCache>
                <c:formatCode>#,##0</c:formatCode>
                <c:ptCount val="12"/>
                <c:pt idx="0">
                  <c:v>2116.7240558550002</c:v>
                </c:pt>
                <c:pt idx="1">
                  <c:v>1953.1491370000001</c:v>
                </c:pt>
                <c:pt idx="2">
                  <c:v>2165.8097268549996</c:v>
                </c:pt>
                <c:pt idx="3">
                  <c:v>2199.4457339999999</c:v>
                </c:pt>
                <c:pt idx="4">
                  <c:v>2160.0549449999999</c:v>
                </c:pt>
                <c:pt idx="5">
                  <c:v>2122.2677774870003</c:v>
                </c:pt>
                <c:pt idx="6">
                  <c:v>2208.864943903</c:v>
                </c:pt>
                <c:pt idx="7">
                  <c:v>2251.7331004799998</c:v>
                </c:pt>
                <c:pt idx="8">
                  <c:v>2162.7557134909998</c:v>
                </c:pt>
                <c:pt idx="9">
                  <c:v>2202.100300132</c:v>
                </c:pt>
                <c:pt idx="10">
                  <c:v>2230.0138096210003</c:v>
                </c:pt>
                <c:pt idx="11">
                  <c:v>2148.7191545589999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B-4E52-96ED-27B5628AC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609808"/>
        <c:axId val="634610368"/>
      </c:lineChart>
      <c:catAx>
        <c:axId val="6346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61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610368"/>
        <c:scaling>
          <c:orientation val="minMax"/>
        </c:scaling>
        <c:delete val="0"/>
        <c:axPos val="l"/>
        <c:minorGridlines>
          <c:spPr>
            <a:ln w="3175">
              <a:solidFill>
                <a:srgbClr val="B7B7B7"/>
              </a:solidFill>
              <a:prstDash val="sysDot"/>
            </a:ln>
          </c:spPr>
        </c:min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609808"/>
        <c:crosses val="autoZero"/>
        <c:crossBetween val="between"/>
        <c:minorUnit val="500"/>
      </c:valAx>
    </c:plotArea>
    <c:legend>
      <c:legendPos val="t"/>
      <c:layout>
        <c:manualLayout>
          <c:xMode val="edge"/>
          <c:yMode val="edge"/>
          <c:x val="1.8683894407579821E-4"/>
          <c:y val="6.5343915343915357E-2"/>
          <c:w val="0.40561427137715389"/>
          <c:h val="5.3914718993459142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Producción Acero Laminado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748519056189235E-4"/>
          <c:y val="1.29754614006582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61342775939988E-2"/>
          <c:y val="0.1793276158951469"/>
          <c:w val="0.90095190172234396"/>
          <c:h val="0.75021226513352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gráficos'!$C$9:$N$9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gráficos'!$C$10:$N$10</c:f>
              <c:numCache>
                <c:formatCode>#,##0</c:formatCode>
                <c:ptCount val="12"/>
                <c:pt idx="0">
                  <c:v>4424.3683247339986</c:v>
                </c:pt>
                <c:pt idx="1">
                  <c:v>4330.4370230799996</c:v>
                </c:pt>
                <c:pt idx="2">
                  <c:v>4889.2315157230014</c:v>
                </c:pt>
                <c:pt idx="3">
                  <c:v>4681.7894361160006</c:v>
                </c:pt>
                <c:pt idx="4">
                  <c:v>4599.8239526099987</c:v>
                </c:pt>
                <c:pt idx="5">
                  <c:v>4504.5077877410004</c:v>
                </c:pt>
                <c:pt idx="6">
                  <c:v>4519.6756854899995</c:v>
                </c:pt>
                <c:pt idx="7">
                  <c:v>4379.5421279999991</c:v>
                </c:pt>
                <c:pt idx="8">
                  <c:v>4509.9394809999985</c:v>
                </c:pt>
                <c:pt idx="9">
                  <c:v>4600.9363620000004</c:v>
                </c:pt>
                <c:pt idx="10">
                  <c:v>4338.9545750000007</c:v>
                </c:pt>
                <c:pt idx="11">
                  <c:v>3993.3096670000009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0-46F7-8C45-AFEA7D16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34613728"/>
        <c:axId val="634614288"/>
      </c:barChart>
      <c:lineChart>
        <c:grouping val="standard"/>
        <c:varyColors val="0"/>
        <c:ser>
          <c:idx val="1"/>
          <c:order val="1"/>
          <c:tx>
            <c:strRef>
              <c:f>'Cifras gráficos'!$B$11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gráficos'!$C$11:$N$11</c:f>
              <c:numCache>
                <c:formatCode>#,##0</c:formatCode>
                <c:ptCount val="12"/>
                <c:pt idx="0">
                  <c:v>4268.1126248099999</c:v>
                </c:pt>
                <c:pt idx="1">
                  <c:v>4066.6759520000005</c:v>
                </c:pt>
                <c:pt idx="2">
                  <c:v>4517.8820073069992</c:v>
                </c:pt>
                <c:pt idx="3">
                  <c:v>4428.8920669999998</c:v>
                </c:pt>
                <c:pt idx="4">
                  <c:v>4455.2256909999996</c:v>
                </c:pt>
                <c:pt idx="5">
                  <c:v>4388.9039549820009</c:v>
                </c:pt>
                <c:pt idx="6">
                  <c:v>4434.31022424</c:v>
                </c:pt>
                <c:pt idx="7">
                  <c:v>4515.7432946030003</c:v>
                </c:pt>
                <c:pt idx="8">
                  <c:v>4388.8225175999978</c:v>
                </c:pt>
                <c:pt idx="9">
                  <c:v>4549.2170561929997</c:v>
                </c:pt>
                <c:pt idx="10">
                  <c:v>4543.7812464300014</c:v>
                </c:pt>
                <c:pt idx="11">
                  <c:v>4329.7045006409971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0-46F7-8C45-AFEA7D16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613728"/>
        <c:axId val="634614288"/>
      </c:lineChart>
      <c:catAx>
        <c:axId val="6346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6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614288"/>
        <c:scaling>
          <c:orientation val="minMax"/>
        </c:scaling>
        <c:delete val="0"/>
        <c:axPos val="l"/>
        <c:minorGridlines>
          <c:spPr>
            <a:ln w="3175">
              <a:prstDash val="sysDot"/>
            </a:ln>
          </c:spPr>
        </c:min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613728"/>
        <c:crosses val="autoZero"/>
        <c:crossBetween val="between"/>
        <c:minorUnit val="500"/>
      </c:valAx>
    </c:plotArea>
    <c:legend>
      <c:legendPos val="t"/>
      <c:layout>
        <c:manualLayout>
          <c:xMode val="edge"/>
          <c:yMode val="edge"/>
          <c:x val="1.8683894407579821E-4"/>
          <c:y val="6.5343915343915357E-2"/>
          <c:w val="0.40561427137715389"/>
          <c:h val="5.3914718993459142E-2"/>
        </c:manualLayout>
      </c:layout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Comercio Siderúrgico 2018</a:t>
            </a:r>
            <a:endParaRPr lang="es-CL" sz="11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6.3067573585750788E-4"/>
          <c:y val="5.29100529100529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75115919356991"/>
          <c:y val="0.18085322667999834"/>
          <c:w val="0.85716560429946254"/>
          <c:h val="0.78150243178360879"/>
        </c:manualLayout>
      </c:layout>
      <c:barChart>
        <c:barDir val="col"/>
        <c:grouping val="clustered"/>
        <c:varyColors val="0"/>
        <c:ser>
          <c:idx val="0"/>
          <c:order val="0"/>
          <c:tx>
            <c:v>Expo</c:v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gráficos'!$C$45:$N$45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gráficos'!$C$46:$N$46</c:f>
              <c:numCache>
                <c:formatCode>#,##0</c:formatCode>
                <c:ptCount val="12"/>
                <c:pt idx="0">
                  <c:v>824.67441563770001</c:v>
                </c:pt>
                <c:pt idx="1">
                  <c:v>842.89124319519999</c:v>
                </c:pt>
                <c:pt idx="2">
                  <c:v>992.76607026019997</c:v>
                </c:pt>
                <c:pt idx="3">
                  <c:v>890.76023870950007</c:v>
                </c:pt>
                <c:pt idx="4">
                  <c:v>852.14272465730005</c:v>
                </c:pt>
                <c:pt idx="5">
                  <c:v>815.18195391490008</c:v>
                </c:pt>
                <c:pt idx="6">
                  <c:v>744.00454376640005</c:v>
                </c:pt>
                <c:pt idx="7">
                  <c:v>893.28788102758995</c:v>
                </c:pt>
                <c:pt idx="8">
                  <c:v>621.2709410130999</c:v>
                </c:pt>
                <c:pt idx="9">
                  <c:v>786.00748975860017</c:v>
                </c:pt>
                <c:pt idx="10">
                  <c:v>814.35348415999988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2-4A16-AB0F-2C99AC920DD1}"/>
            </c:ext>
          </c:extLst>
        </c:ser>
        <c:ser>
          <c:idx val="1"/>
          <c:order val="1"/>
          <c:tx>
            <c:v>Impo</c:v>
          </c:tx>
          <c:spPr>
            <a:solidFill>
              <a:srgbClr val="7CC7EF"/>
            </a:solidFill>
            <a:ln w="76200">
              <a:noFill/>
            </a:ln>
          </c:spPr>
          <c:invertIfNegative val="0"/>
          <c:cat>
            <c:strRef>
              <c:f>'Cifras gráficos'!$C$45:$N$45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gráficos'!$C$47:$N$47</c:f>
              <c:numCache>
                <c:formatCode>#,##0</c:formatCode>
                <c:ptCount val="12"/>
                <c:pt idx="0">
                  <c:v>2006.18287521502</c:v>
                </c:pt>
                <c:pt idx="1">
                  <c:v>1674.5324482883998</c:v>
                </c:pt>
                <c:pt idx="2">
                  <c:v>1893.1014503695003</c:v>
                </c:pt>
                <c:pt idx="3">
                  <c:v>2084.0352309709001</c:v>
                </c:pt>
                <c:pt idx="4">
                  <c:v>2214.8659554875999</c:v>
                </c:pt>
                <c:pt idx="5">
                  <c:v>1941.4782908489999</c:v>
                </c:pt>
                <c:pt idx="6">
                  <c:v>1901.1369522312002</c:v>
                </c:pt>
                <c:pt idx="7">
                  <c:v>2114.1460694469392</c:v>
                </c:pt>
                <c:pt idx="8">
                  <c:v>1807.9693764763997</c:v>
                </c:pt>
                <c:pt idx="9">
                  <c:v>1998.0351952690999</c:v>
                </c:pt>
                <c:pt idx="10">
                  <c:v>1894.2539883499996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2-4A16-AB0F-2C99AC92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269184"/>
        <c:axId val="634269744"/>
      </c:barChart>
      <c:lineChart>
        <c:grouping val="standard"/>
        <c:varyColors val="0"/>
        <c:ser>
          <c:idx val="2"/>
          <c:order val="2"/>
          <c:tx>
            <c:v>Saldo</c:v>
          </c:tx>
          <c:spPr>
            <a:ln w="76200">
              <a:solidFill>
                <a:srgbClr val="87226C"/>
              </a:solidFill>
            </a:ln>
          </c:spPr>
          <c:marker>
            <c:symbol val="none"/>
          </c:marker>
          <c:val>
            <c:numRef>
              <c:f>'Cifras gráficos'!$C$48:$N$48</c:f>
              <c:numCache>
                <c:formatCode>#,##0</c:formatCode>
                <c:ptCount val="12"/>
                <c:pt idx="0">
                  <c:v>-1181.5084595773201</c:v>
                </c:pt>
                <c:pt idx="1">
                  <c:v>-831.6412050931998</c:v>
                </c:pt>
                <c:pt idx="2">
                  <c:v>-900.33538010930033</c:v>
                </c:pt>
                <c:pt idx="3">
                  <c:v>-1193.2749922614</c:v>
                </c:pt>
                <c:pt idx="4">
                  <c:v>-1362.7232308302998</c:v>
                </c:pt>
                <c:pt idx="5">
                  <c:v>-1126.2963369340998</c:v>
                </c:pt>
                <c:pt idx="6">
                  <c:v>-1157.1324084648002</c:v>
                </c:pt>
                <c:pt idx="7">
                  <c:v>-1220.8581884193493</c:v>
                </c:pt>
                <c:pt idx="8">
                  <c:v>-1186.6984354632998</c:v>
                </c:pt>
                <c:pt idx="9">
                  <c:v>-1212.0277055104998</c:v>
                </c:pt>
                <c:pt idx="10">
                  <c:v>-1079.9005041899998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32-4A16-AB0F-2C99AC92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69184"/>
        <c:axId val="634269744"/>
      </c:lineChart>
      <c:catAx>
        <c:axId val="6342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26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269744"/>
        <c:scaling>
          <c:orientation val="minMax"/>
        </c:scaling>
        <c:delete val="0"/>
        <c:axPos val="l"/>
        <c:majorGridlines>
          <c:spPr>
            <a:ln w="3175">
              <a:solidFill>
                <a:srgbClr val="B7B7B7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26918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6.5456496827635672E-4"/>
          <c:y val="6.3942423863683706E-2"/>
          <c:w val="0.50085703713760421"/>
          <c:h val="6.8399775820941408E-2"/>
        </c:manualLayout>
      </c:layout>
      <c:overlay val="0"/>
      <c:txPr>
        <a:bodyPr anchor="t" anchorCtr="0"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Importaciones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748519056189235E-4"/>
          <c:y val="1.29754614006582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61342775939988E-2"/>
          <c:y val="0.1793276158951469"/>
          <c:w val="0.90095190172234396"/>
          <c:h val="0.75021226513352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gráficos'!$C$33:$N$33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gráficos'!$C$34:$N$34</c:f>
              <c:numCache>
                <c:formatCode>#,##0</c:formatCode>
                <c:ptCount val="12"/>
                <c:pt idx="0">
                  <c:v>2006.18287521502</c:v>
                </c:pt>
                <c:pt idx="1">
                  <c:v>1674.5324482883998</c:v>
                </c:pt>
                <c:pt idx="2">
                  <c:v>1893.1014503695003</c:v>
                </c:pt>
                <c:pt idx="3">
                  <c:v>2084.0352309709001</c:v>
                </c:pt>
                <c:pt idx="4">
                  <c:v>2214.8659554875999</c:v>
                </c:pt>
                <c:pt idx="5">
                  <c:v>1941.4782908489999</c:v>
                </c:pt>
                <c:pt idx="6">
                  <c:v>1901.1369522312002</c:v>
                </c:pt>
                <c:pt idx="7">
                  <c:v>2114.1460694469392</c:v>
                </c:pt>
                <c:pt idx="8">
                  <c:v>1807.9693764763997</c:v>
                </c:pt>
                <c:pt idx="9">
                  <c:v>1998.0351952690999</c:v>
                </c:pt>
                <c:pt idx="10">
                  <c:v>1894.2539883499996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B-4728-B489-0F729A74A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34273104"/>
        <c:axId val="634273664"/>
      </c:barChart>
      <c:lineChart>
        <c:grouping val="standard"/>
        <c:varyColors val="0"/>
        <c:ser>
          <c:idx val="1"/>
          <c:order val="1"/>
          <c:tx>
            <c:strRef>
              <c:f>'Cifras gráficos'!$B$35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gráficos'!$C$35:$N$35</c:f>
              <c:numCache>
                <c:formatCode>#,##0</c:formatCode>
                <c:ptCount val="12"/>
                <c:pt idx="0">
                  <c:v>2160.8248128206665</c:v>
                </c:pt>
                <c:pt idx="1">
                  <c:v>1803.7585967627667</c:v>
                </c:pt>
                <c:pt idx="2">
                  <c:v>2362.7284358087668</c:v>
                </c:pt>
                <c:pt idx="3">
                  <c:v>2094.3816310472339</c:v>
                </c:pt>
                <c:pt idx="4">
                  <c:v>2336.3135562970874</c:v>
                </c:pt>
                <c:pt idx="5">
                  <c:v>2291.9063174746329</c:v>
                </c:pt>
                <c:pt idx="6">
                  <c:v>2078.9636483193103</c:v>
                </c:pt>
                <c:pt idx="7">
                  <c:v>2250.4234327948998</c:v>
                </c:pt>
                <c:pt idx="8">
                  <c:v>2095.666238582754</c:v>
                </c:pt>
                <c:pt idx="9">
                  <c:v>2082.4512806339208</c:v>
                </c:pt>
                <c:pt idx="10">
                  <c:v>1784.7331423247208</c:v>
                </c:pt>
                <c:pt idx="11">
                  <c:v>1752.6995814673508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B-4728-B489-0F729A74A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73104"/>
        <c:axId val="634273664"/>
      </c:lineChart>
      <c:catAx>
        <c:axId val="63427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27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273664"/>
        <c:scaling>
          <c:orientation val="minMax"/>
        </c:scaling>
        <c:delete val="0"/>
        <c:axPos val="l"/>
        <c:minorGridlines>
          <c:spPr>
            <a:ln w="3175">
              <a:prstDash val="sysDot"/>
            </a:ln>
          </c:spPr>
        </c:min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273104"/>
        <c:crosses val="autoZero"/>
        <c:crossBetween val="between"/>
        <c:minorUnit val="500"/>
      </c:valAx>
    </c:plotArea>
    <c:legend>
      <c:legendPos val="t"/>
      <c:layout>
        <c:manualLayout>
          <c:xMode val="edge"/>
          <c:yMode val="edge"/>
          <c:x val="1.8683894407579821E-4"/>
          <c:y val="6.5343915343915357E-2"/>
          <c:w val="0.33198980900967018"/>
          <c:h val="5.3914718993459142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s-CL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Exportaciones</a:t>
            </a:r>
            <a:endParaRPr lang="es-CL" sz="1400" b="0" i="1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0937477461381746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96151409914741"/>
          <c:y val="0.17956786968343308"/>
          <c:w val="0.86717367433698822"/>
          <c:h val="0.74453435397707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gráficos'!$B$40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1AF"/>
            </a:solidFill>
            <a:ln>
              <a:solidFill>
                <a:srgbClr val="0061AF"/>
              </a:solidFill>
            </a:ln>
          </c:spPr>
          <c:invertIfNegative val="0"/>
          <c:cat>
            <c:strRef>
              <c:f>'Cifras gráficos'!$C$39:$N$39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'Cifras gráficos'!$C$40:$N$40</c:f>
              <c:numCache>
                <c:formatCode>#,##0</c:formatCode>
                <c:ptCount val="12"/>
                <c:pt idx="0">
                  <c:v>824.67441563770001</c:v>
                </c:pt>
                <c:pt idx="1">
                  <c:v>842.89124319519999</c:v>
                </c:pt>
                <c:pt idx="2">
                  <c:v>992.76607026019997</c:v>
                </c:pt>
                <c:pt idx="3">
                  <c:v>890.76023870950007</c:v>
                </c:pt>
                <c:pt idx="4">
                  <c:v>852.14272465730005</c:v>
                </c:pt>
                <c:pt idx="5">
                  <c:v>815.18195391490008</c:v>
                </c:pt>
                <c:pt idx="6">
                  <c:v>744.00454376640005</c:v>
                </c:pt>
                <c:pt idx="7">
                  <c:v>893.28788102758995</c:v>
                </c:pt>
                <c:pt idx="8">
                  <c:v>621.2709410130999</c:v>
                </c:pt>
                <c:pt idx="9">
                  <c:v>786.00748975860017</c:v>
                </c:pt>
                <c:pt idx="10">
                  <c:v>814.35348415999988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F-44FD-A74E-DE6A30B4C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753136"/>
        <c:axId val="634753696"/>
      </c:barChart>
      <c:lineChart>
        <c:grouping val="standard"/>
        <c:varyColors val="0"/>
        <c:ser>
          <c:idx val="1"/>
          <c:order val="1"/>
          <c:tx>
            <c:strRef>
              <c:f>'Cifras gráficos'!$B$41</c:f>
              <c:strCache>
                <c:ptCount val="1"/>
                <c:pt idx="0">
                  <c:v>2017</c:v>
                </c:pt>
              </c:strCache>
            </c:strRef>
          </c:tx>
          <c:spPr>
            <a:ln w="76200">
              <a:solidFill>
                <a:srgbClr val="7CC7EF"/>
              </a:solidFill>
            </a:ln>
          </c:spPr>
          <c:marker>
            <c:symbol val="none"/>
          </c:marker>
          <c:cat>
            <c:strRef>
              <c:f>'Producción Laminados 2016'!$D$2:$H$2</c:f>
              <c:strCache>
                <c:ptCount val="5"/>
                <c:pt idx="0">
                  <c:v>Enero
January</c:v>
                </c:pt>
                <c:pt idx="1">
                  <c:v>Febrero
February</c:v>
                </c:pt>
                <c:pt idx="2">
                  <c:v>Marzo
March</c:v>
                </c:pt>
                <c:pt idx="3">
                  <c:v>Abril 
April</c:v>
                </c:pt>
                <c:pt idx="4">
                  <c:v>Mayo
May</c:v>
                </c:pt>
              </c:strCache>
            </c:strRef>
          </c:cat>
          <c:val>
            <c:numRef>
              <c:f>'Cifras gráficos'!$C$41:$N$41</c:f>
              <c:numCache>
                <c:formatCode>#,##0</c:formatCode>
                <c:ptCount val="12"/>
                <c:pt idx="0">
                  <c:v>839.71574816499992</c:v>
                </c:pt>
                <c:pt idx="1">
                  <c:v>733.31992779220013</c:v>
                </c:pt>
                <c:pt idx="2">
                  <c:v>851.26498491580003</c:v>
                </c:pt>
                <c:pt idx="3">
                  <c:v>736.54566373593332</c:v>
                </c:pt>
                <c:pt idx="4">
                  <c:v>936.11036353023326</c:v>
                </c:pt>
                <c:pt idx="5">
                  <c:v>923.75574580773332</c:v>
                </c:pt>
                <c:pt idx="6">
                  <c:v>787.69791635133333</c:v>
                </c:pt>
                <c:pt idx="7">
                  <c:v>974.8865088296335</c:v>
                </c:pt>
                <c:pt idx="8">
                  <c:v>926.03855917963324</c:v>
                </c:pt>
                <c:pt idx="9">
                  <c:v>925.67372391543336</c:v>
                </c:pt>
                <c:pt idx="10">
                  <c:v>948.77854253193334</c:v>
                </c:pt>
                <c:pt idx="11">
                  <c:v>1038.8600053336788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F-44FD-A74E-DE6A30B4C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753136"/>
        <c:axId val="634753696"/>
      </c:lineChart>
      <c:catAx>
        <c:axId val="63475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7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753696"/>
        <c:scaling>
          <c:orientation val="minMax"/>
        </c:scaling>
        <c:delete val="0"/>
        <c:axPos val="l"/>
        <c:majorGridlines>
          <c:spPr>
            <a:ln w="3175">
              <a:solidFill>
                <a:srgbClr val="B7B7B7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3475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5.9840330348222594E-2"/>
          <c:w val="0.32859198831041281"/>
          <c:h val="4.20158621183297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 2015'!$F$104</c:f>
              <c:strCache>
                <c:ptCount val="1"/>
                <c:pt idx="0">
                  <c:v>Expo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'Expo 2015'!$G$104:$H$104</c:f>
              <c:numCache>
                <c:formatCode>_-* #,##0_-;\-* #,##0_-;_-* "-"??_-;_-@_-</c:formatCode>
                <c:ptCount val="2"/>
                <c:pt idx="0">
                  <c:v>2549.8293299669999</c:v>
                </c:pt>
                <c:pt idx="1">
                  <c:v>3038.0300386830004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1AE-B2DA-F64199DD4D2D}"/>
            </c:ext>
          </c:extLst>
        </c:ser>
        <c:ser>
          <c:idx val="1"/>
          <c:order val="1"/>
          <c:tx>
            <c:strRef>
              <c:f>'Expo 2015'!$F$105</c:f>
              <c:strCache>
                <c:ptCount val="1"/>
                <c:pt idx="0">
                  <c:v>Impo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'Expo 2015'!$G$105:$H$105</c:f>
              <c:numCache>
                <c:formatCode>_-* #,##0_-;\-* #,##0_-;_-* "-"??_-;_-@_-</c:formatCode>
                <c:ptCount val="2"/>
                <c:pt idx="0">
                  <c:v>9276.6113455560007</c:v>
                </c:pt>
                <c:pt idx="1">
                  <c:v>7315.9135940289989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2-41AE-B2DA-F64199DD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825360"/>
        <c:axId val="637825920"/>
      </c:barChart>
      <c:lineChart>
        <c:grouping val="standard"/>
        <c:varyColors val="0"/>
        <c:ser>
          <c:idx val="2"/>
          <c:order val="2"/>
          <c:tx>
            <c:strRef>
              <c:f>'Expo 2015'!$F$106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'Expo 2015'!$G$106:$H$106</c:f>
              <c:numCache>
                <c:formatCode>_-* #,##0_-;\-* #,##0_-;_-* "-"??_-;_-@_-</c:formatCode>
                <c:ptCount val="2"/>
                <c:pt idx="0">
                  <c:v>-6726.7820155890004</c:v>
                </c:pt>
                <c:pt idx="1">
                  <c:v>-4277.8835553459985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2-41AE-B2DA-F64199DD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825360"/>
        <c:axId val="637825920"/>
      </c:lineChart>
      <c:catAx>
        <c:axId val="6378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7825920"/>
        <c:crosses val="autoZero"/>
        <c:auto val="1"/>
        <c:lblAlgn val="ctr"/>
        <c:lblOffset val="100"/>
        <c:noMultiLvlLbl val="0"/>
      </c:catAx>
      <c:valAx>
        <c:axId val="6378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78253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38100</xdr:rowOff>
    </xdr:from>
    <xdr:to>
      <xdr:col>3</xdr:col>
      <xdr:colOff>695325</xdr:colOff>
      <xdr:row>3</xdr:row>
      <xdr:rowOff>0</xdr:rowOff>
    </xdr:to>
    <xdr:pic>
      <xdr:nvPicPr>
        <xdr:cNvPr id="2049" name="Picture 1" descr="logo_int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52425"/>
          <a:ext cx="1438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6</xdr:row>
      <xdr:rowOff>209550</xdr:rowOff>
    </xdr:to>
    <xdr:pic>
      <xdr:nvPicPr>
        <xdr:cNvPr id="2050" name="Picture 2" descr="bk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502" t="7301"/>
        <a:stretch>
          <a:fillRect/>
        </a:stretch>
      </xdr:blipFill>
      <xdr:spPr bwMode="auto">
        <a:xfrm>
          <a:off x="0" y="0"/>
          <a:ext cx="59436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178593</xdr:rowOff>
    </xdr:from>
    <xdr:to>
      <xdr:col>6</xdr:col>
      <xdr:colOff>476249</xdr:colOff>
      <xdr:row>30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488156</xdr:colOff>
      <xdr:row>32</xdr:row>
      <xdr:rowOff>23812</xdr:rowOff>
    </xdr:from>
    <xdr:to>
      <xdr:col>17</xdr:col>
      <xdr:colOff>500062</xdr:colOff>
      <xdr:row>49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6</xdr:col>
      <xdr:colOff>559593</xdr:colOff>
      <xdr:row>49</xdr:row>
      <xdr:rowOff>9525</xdr:rowOff>
    </xdr:to>
    <xdr:graphicFrame macro="">
      <xdr:nvGraphicFramePr>
        <xdr:cNvPr id="13" name="Chart 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12</xdr:col>
      <xdr:colOff>130968</xdr:colOff>
      <xdr:row>49</xdr:row>
      <xdr:rowOff>9525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13</xdr:row>
      <xdr:rowOff>1</xdr:rowOff>
    </xdr:from>
    <xdr:to>
      <xdr:col>12</xdr:col>
      <xdr:colOff>130968</xdr:colOff>
      <xdr:row>30</xdr:row>
      <xdr:rowOff>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84666</xdr:colOff>
      <xdr:row>14</xdr:row>
      <xdr:rowOff>2644</xdr:rowOff>
    </xdr:from>
    <xdr:to>
      <xdr:col>19</xdr:col>
      <xdr:colOff>412750</xdr:colOff>
      <xdr:row>30</xdr:row>
      <xdr:rowOff>211666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31750</xdr:colOff>
      <xdr:row>14</xdr:row>
      <xdr:rowOff>10583</xdr:rowOff>
    </xdr:from>
    <xdr:to>
      <xdr:col>6</xdr:col>
      <xdr:colOff>591343</xdr:colOff>
      <xdr:row>31</xdr:row>
      <xdr:rowOff>20108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14</xdr:row>
      <xdr:rowOff>0</xdr:rowOff>
    </xdr:from>
    <xdr:to>
      <xdr:col>13</xdr:col>
      <xdr:colOff>243416</xdr:colOff>
      <xdr:row>31</xdr:row>
      <xdr:rowOff>9525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877660</xdr:colOff>
      <xdr:row>92</xdr:row>
      <xdr:rowOff>43543</xdr:rowOff>
    </xdr:from>
    <xdr:to>
      <xdr:col>14</xdr:col>
      <xdr:colOff>891267</xdr:colOff>
      <xdr:row>109</xdr:row>
      <xdr:rowOff>10886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10</xdr:row>
      <xdr:rowOff>10583</xdr:rowOff>
    </xdr:from>
    <xdr:to>
      <xdr:col>6</xdr:col>
      <xdr:colOff>591343</xdr:colOff>
      <xdr:row>27</xdr:row>
      <xdr:rowOff>20108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12</xdr:col>
      <xdr:colOff>698500</xdr:colOff>
      <xdr:row>27</xdr:row>
      <xdr:rowOff>9525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10583</xdr:rowOff>
    </xdr:from>
    <xdr:to>
      <xdr:col>6</xdr:col>
      <xdr:colOff>559593</xdr:colOff>
      <xdr:row>45</xdr:row>
      <xdr:rowOff>20108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878417</xdr:colOff>
      <xdr:row>28</xdr:row>
      <xdr:rowOff>0</xdr:rowOff>
    </xdr:from>
    <xdr:to>
      <xdr:col>13</xdr:col>
      <xdr:colOff>127000</xdr:colOff>
      <xdr:row>45</xdr:row>
      <xdr:rowOff>9525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416719</xdr:colOff>
      <xdr:row>22</xdr:row>
      <xdr:rowOff>3572</xdr:rowOff>
    </xdr:from>
    <xdr:to>
      <xdr:col>26</xdr:col>
      <xdr:colOff>416719</xdr:colOff>
      <xdr:row>34</xdr:row>
      <xdr:rowOff>32147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&#237;sticas\Am&#233;rica%20Latina,%20Una%20Visi&#243;n%20Regional\Planillas\Am&#233;rica%20Latina%20mensual%202013-2014-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Macroeconomía"/>
      <sheetName val="Gráfico Comercio Siderúrgico"/>
      <sheetName val="Gráfico Mercado Siderúrgico "/>
      <sheetName val="Gráfico Acero Crudo"/>
      <sheetName val="Producción Acero Crudo 2011"/>
      <sheetName val="Producción Acero Crudo 2012"/>
      <sheetName val="Producción Acero Crudo 2013"/>
      <sheetName val="Producción Acero Crudo 2014"/>
      <sheetName val="Producción Acero Crudo 2015"/>
      <sheetName val="Producción Acero Crudo 2016"/>
      <sheetName val="Hierro Primario 2011"/>
      <sheetName val="Hierro Primario 2012"/>
      <sheetName val="Hierro Primario 2013"/>
      <sheetName val="Hierro Primario 2014"/>
      <sheetName val="Hierro Primario 2015"/>
      <sheetName val="Hierro Primario 2016"/>
      <sheetName val="Producción Laminados 2011"/>
      <sheetName val="Producción Laminados 2012"/>
      <sheetName val="Producción Laminados 2013"/>
      <sheetName val="Producción Laminados 2014"/>
      <sheetName val="Producción Laminados 2015"/>
      <sheetName val="Producción Laminados 2016"/>
      <sheetName val="Producción Terminados ASU 2011"/>
      <sheetName val="Producción Terminados ASU 2012"/>
      <sheetName val="Producción Terminados ASU 2013"/>
      <sheetName val="Producción Terminados ASU 2014"/>
      <sheetName val="Producción Terminados ASU 2015"/>
      <sheetName val="Producción Terminados ASU 2016"/>
      <sheetName val="Importaciones 2011"/>
      <sheetName val="Importaciones 2012"/>
      <sheetName val="Importaciones 2013"/>
      <sheetName val="Importaciones 2014"/>
      <sheetName val="Importaciones 2015"/>
      <sheetName val="Exportaciones 2011 "/>
      <sheetName val="Exportaciones 2012"/>
      <sheetName val="Exportaciones 2013"/>
      <sheetName val="Exportaciones 2014"/>
      <sheetName val="Exportaciones 2015"/>
      <sheetName val="Consumo Aparente 2011"/>
      <sheetName val="Consumo Aparente 2012 "/>
      <sheetName val="Consumo Aparente 2013"/>
      <sheetName val="Consumo Aparente 2014"/>
      <sheetName val="Consumo Aparente 2015"/>
      <sheetName val="Cálculos 2013"/>
      <sheetName val="Cálculos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3">
          <cell r="D23">
            <v>29.87</v>
          </cell>
          <cell r="E23">
            <v>31.363499999999998</v>
          </cell>
          <cell r="F23">
            <v>32.932189999999999</v>
          </cell>
          <cell r="G23">
            <v>34.579160000000002</v>
          </cell>
          <cell r="H23">
            <v>36.308529999999998</v>
          </cell>
          <cell r="I23">
            <v>38.124420000000001</v>
          </cell>
          <cell r="J23">
            <v>37.785550000000001</v>
          </cell>
          <cell r="K23">
            <v>39.674570000000003</v>
          </cell>
          <cell r="L23">
            <v>41.658349999999999</v>
          </cell>
          <cell r="M23">
            <v>43.741010000000003</v>
          </cell>
          <cell r="N23">
            <v>45.927700000000002</v>
          </cell>
          <cell r="O23">
            <v>48.224600000000002</v>
          </cell>
        </row>
        <row r="28">
          <cell r="O28">
            <v>6.31</v>
          </cell>
        </row>
        <row r="33">
          <cell r="N33">
            <v>58.04</v>
          </cell>
          <cell r="O33">
            <v>57.253999999999998</v>
          </cell>
        </row>
        <row r="38">
          <cell r="D38">
            <v>9.1237400000000015</v>
          </cell>
          <cell r="F38">
            <v>9.6541899999999998</v>
          </cell>
          <cell r="G38">
            <v>6.3654000000000002</v>
          </cell>
          <cell r="H38">
            <v>10.82118</v>
          </cell>
          <cell r="I38">
            <v>6.5775800000000002</v>
          </cell>
          <cell r="J38">
            <v>8.4871999999999996</v>
          </cell>
          <cell r="K38">
            <v>6.6836700000000002</v>
          </cell>
          <cell r="L38">
            <v>6.6836700000000002</v>
          </cell>
          <cell r="M38">
            <v>5.7288600000000001</v>
          </cell>
          <cell r="N38">
            <v>4.2435999999999998</v>
          </cell>
          <cell r="O38">
            <v>0.10609000000000002</v>
          </cell>
        </row>
        <row r="43">
          <cell r="D43">
            <v>36.050000000000004</v>
          </cell>
          <cell r="E43">
            <v>37.852499999999999</v>
          </cell>
          <cell r="F43">
            <v>39.745640000000002</v>
          </cell>
          <cell r="G43">
            <v>41.732510000000005</v>
          </cell>
          <cell r="H43">
            <v>43.819290000000002</v>
          </cell>
          <cell r="I43">
            <v>46.010100000000001</v>
          </cell>
          <cell r="J43">
            <v>48.311120000000003</v>
          </cell>
          <cell r="K43">
            <v>50.726470000000006</v>
          </cell>
          <cell r="L43">
            <v>53.262329999999999</v>
          </cell>
          <cell r="M43">
            <v>55.925910000000002</v>
          </cell>
          <cell r="N43">
            <v>58.722360000000002</v>
          </cell>
          <cell r="O43">
            <v>61.65889</v>
          </cell>
        </row>
        <row r="53">
          <cell r="D53">
            <v>1.2370094</v>
          </cell>
          <cell r="E53">
            <v>1.5563403000000002</v>
          </cell>
          <cell r="F53">
            <v>1.6337860000000002</v>
          </cell>
          <cell r="G53">
            <v>1.7154753</v>
          </cell>
          <cell r="H53">
            <v>1.8014082</v>
          </cell>
          <cell r="I53">
            <v>1.8915846999999999</v>
          </cell>
          <cell r="J53">
            <v>1.9860048000000001</v>
          </cell>
          <cell r="K53">
            <v>2.0857294000000004</v>
          </cell>
          <cell r="L53">
            <v>2.1896976000000001</v>
          </cell>
          <cell r="M53">
            <v>2.2989702999999997</v>
          </cell>
          <cell r="N53">
            <v>2.4135475</v>
          </cell>
          <cell r="O53">
            <v>2.5344901000000002</v>
          </cell>
        </row>
        <row r="68">
          <cell r="D68">
            <v>25.220775700000001</v>
          </cell>
          <cell r="E68">
            <v>26.4821858</v>
          </cell>
          <cell r="F68">
            <v>27.806189000000003</v>
          </cell>
          <cell r="G68">
            <v>29.197028900000003</v>
          </cell>
          <cell r="H68">
            <v>30.6568273</v>
          </cell>
          <cell r="I68">
            <v>32.189827800000003</v>
          </cell>
          <cell r="J68">
            <v>33.799213100000003</v>
          </cell>
          <cell r="K68">
            <v>35.489226799999997</v>
          </cell>
          <cell r="L68">
            <v>37.264112500000003</v>
          </cell>
          <cell r="M68">
            <v>39.127052900000002</v>
          </cell>
          <cell r="N68">
            <v>41.083352500000004</v>
          </cell>
          <cell r="O68">
            <v>43.137254900000002</v>
          </cell>
        </row>
        <row r="73">
          <cell r="D73">
            <v>4.158728</v>
          </cell>
          <cell r="E73">
            <v>3.3386522999999997</v>
          </cell>
          <cell r="F73">
            <v>7.2342771000000008</v>
          </cell>
          <cell r="G73">
            <v>5.9972677000000001</v>
          </cell>
          <cell r="H73">
            <v>8.5020526000000007</v>
          </cell>
          <cell r="I73">
            <v>8.0776926000000007</v>
          </cell>
          <cell r="J73">
            <v>8.1413466000000003</v>
          </cell>
          <cell r="K73">
            <v>7.2703477000000003</v>
          </cell>
          <cell r="L73">
            <v>6.312355000000001</v>
          </cell>
          <cell r="M73">
            <v>7.5355727000000003</v>
          </cell>
          <cell r="N73">
            <v>7.3923512000000002</v>
          </cell>
          <cell r="O73">
            <v>4.7507101999999994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H1:Y36"/>
  <sheetViews>
    <sheetView topLeftCell="I2" zoomScale="90" zoomScaleNormal="90" zoomScaleSheetLayoutView="90" workbookViewId="0">
      <selection activeCell="N19" sqref="N19"/>
    </sheetView>
  </sheetViews>
  <sheetFormatPr defaultColWidth="11.42578125" defaultRowHeight="12.75"/>
  <cols>
    <col min="1" max="3" width="11.42578125" style="20"/>
    <col min="4" max="4" width="16.85546875" style="20" customWidth="1"/>
    <col min="5" max="7" width="11.42578125" style="20"/>
    <col min="8" max="8" width="3.7109375" style="20" customWidth="1"/>
    <col min="9" max="10" width="13.7109375" style="20" customWidth="1"/>
    <col min="11" max="11" width="19.5703125" style="20" customWidth="1"/>
    <col min="12" max="12" width="5.42578125" style="20" customWidth="1"/>
    <col min="13" max="15" width="13.7109375" style="20" customWidth="1"/>
    <col min="16" max="16" width="11.42578125" style="20"/>
    <col min="17" max="17" width="21.28515625" style="169" customWidth="1"/>
    <col min="18" max="19" width="11.42578125" style="169"/>
    <col min="20" max="16384" width="11.42578125" style="20"/>
  </cols>
  <sheetData>
    <row r="1" spans="8:25" ht="24.95" customHeight="1">
      <c r="I1" s="86" t="s">
        <v>201</v>
      </c>
    </row>
    <row r="2" spans="8:25" ht="9.75" customHeight="1"/>
    <row r="3" spans="8:25" ht="29.25" customHeight="1">
      <c r="I3" s="23" t="s">
        <v>54</v>
      </c>
      <c r="W3" s="169"/>
      <c r="X3" s="169" t="s">
        <v>190</v>
      </c>
      <c r="Y3" s="169"/>
    </row>
    <row r="4" spans="8:25" ht="20.100000000000001" customHeight="1">
      <c r="W4" s="169" t="s">
        <v>188</v>
      </c>
      <c r="X4" s="168">
        <v>43435</v>
      </c>
      <c r="Y4" s="169">
        <f>+MONTH(X4)-1</f>
        <v>11</v>
      </c>
    </row>
    <row r="5" spans="8:25" ht="20.100000000000001" customHeight="1">
      <c r="I5" s="252" t="s">
        <v>45</v>
      </c>
      <c r="J5" s="252"/>
      <c r="K5" s="252"/>
      <c r="L5" s="24"/>
      <c r="M5" s="252" t="s">
        <v>166</v>
      </c>
      <c r="N5" s="252"/>
      <c r="O5" s="252"/>
      <c r="W5" s="169" t="s">
        <v>189</v>
      </c>
      <c r="X5" s="168">
        <v>43405</v>
      </c>
      <c r="Y5" s="169">
        <f>+MONTH(X5)-1</f>
        <v>10</v>
      </c>
    </row>
    <row r="6" spans="8:25" ht="20.100000000000001" customHeight="1">
      <c r="I6" s="252" t="s">
        <v>112</v>
      </c>
      <c r="J6" s="252"/>
      <c r="K6" s="252"/>
      <c r="L6" s="24"/>
      <c r="M6" s="252" t="s">
        <v>89</v>
      </c>
      <c r="N6" s="252"/>
      <c r="O6" s="252"/>
    </row>
    <row r="7" spans="8:25" ht="20.100000000000001" customHeight="1">
      <c r="I7" s="252" t="s">
        <v>135</v>
      </c>
      <c r="J7" s="252"/>
      <c r="K7" s="252"/>
      <c r="L7" s="24"/>
      <c r="M7" s="252" t="s">
        <v>167</v>
      </c>
      <c r="N7" s="252"/>
      <c r="O7" s="252"/>
    </row>
    <row r="8" spans="8:25" ht="20.100000000000001" customHeight="1">
      <c r="I8" s="252" t="s">
        <v>136</v>
      </c>
      <c r="J8" s="252"/>
      <c r="K8" s="252"/>
      <c r="L8" s="24"/>
      <c r="M8" s="252" t="s">
        <v>90</v>
      </c>
      <c r="N8" s="252"/>
      <c r="O8" s="252"/>
    </row>
    <row r="9" spans="8:25" ht="20.100000000000001" customHeight="1">
      <c r="I9" s="173" t="s">
        <v>193</v>
      </c>
      <c r="J9" s="173"/>
      <c r="K9" s="173"/>
      <c r="L9" s="24"/>
      <c r="M9" s="252" t="s">
        <v>68</v>
      </c>
      <c r="N9" s="252"/>
      <c r="O9" s="252"/>
    </row>
    <row r="10" spans="8:25" ht="20.100000000000001" customHeight="1">
      <c r="I10" s="173" t="s">
        <v>164</v>
      </c>
      <c r="J10" s="173"/>
      <c r="K10" s="173"/>
      <c r="L10" s="24"/>
      <c r="M10" s="252" t="s">
        <v>168</v>
      </c>
      <c r="N10" s="252"/>
      <c r="O10" s="252"/>
    </row>
    <row r="11" spans="8:25" ht="20.100000000000001" customHeight="1">
      <c r="I11" s="173" t="s">
        <v>87</v>
      </c>
      <c r="J11" s="173"/>
      <c r="K11" s="173"/>
      <c r="L11" s="24"/>
      <c r="M11" s="252" t="s">
        <v>91</v>
      </c>
      <c r="N11" s="252"/>
      <c r="O11" s="252"/>
    </row>
    <row r="12" spans="8:25" ht="20.100000000000001" customHeight="1">
      <c r="I12" s="173" t="s">
        <v>194</v>
      </c>
      <c r="J12" s="173"/>
      <c r="K12" s="173"/>
      <c r="L12" s="24"/>
      <c r="M12" s="252" t="s">
        <v>69</v>
      </c>
      <c r="N12" s="252"/>
      <c r="O12" s="252"/>
    </row>
    <row r="13" spans="8:25" ht="20.100000000000001" customHeight="1">
      <c r="I13" s="252" t="s">
        <v>165</v>
      </c>
      <c r="J13" s="252"/>
      <c r="K13" s="252"/>
      <c r="L13" s="24"/>
      <c r="M13" s="252" t="s">
        <v>169</v>
      </c>
      <c r="N13" s="252"/>
      <c r="O13" s="252"/>
    </row>
    <row r="14" spans="8:25" ht="20.100000000000001" customHeight="1">
      <c r="H14" s="40"/>
      <c r="I14" s="252" t="s">
        <v>88</v>
      </c>
      <c r="J14" s="252"/>
      <c r="K14" s="252"/>
      <c r="L14" s="24"/>
      <c r="M14" s="252" t="s">
        <v>170</v>
      </c>
      <c r="N14" s="252"/>
      <c r="O14" s="252"/>
    </row>
    <row r="15" spans="8:25" ht="20.100000000000001" customHeight="1">
      <c r="I15" s="252" t="s">
        <v>195</v>
      </c>
      <c r="J15" s="252"/>
      <c r="K15" s="252"/>
      <c r="M15" s="252" t="s">
        <v>70</v>
      </c>
      <c r="N15" s="252"/>
      <c r="O15" s="252"/>
    </row>
    <row r="16" spans="8:25" ht="20.100000000000001" customHeight="1"/>
    <row r="17" spans="9:9" ht="20.100000000000001" customHeight="1">
      <c r="I17" s="20" t="s">
        <v>110</v>
      </c>
    </row>
    <row r="18" spans="9:9" ht="20.100000000000001" customHeight="1">
      <c r="I18" s="85" t="s">
        <v>202</v>
      </c>
    </row>
    <row r="19" spans="9:9" ht="20.100000000000001" customHeight="1"/>
    <row r="20" spans="9:9" ht="20.100000000000001" customHeight="1"/>
    <row r="21" spans="9:9" ht="20.100000000000001" customHeight="1"/>
    <row r="22" spans="9:9" ht="24.95" customHeight="1"/>
    <row r="23" spans="9:9" ht="24.95" customHeight="1"/>
    <row r="24" spans="9:9" ht="24.95" customHeight="1"/>
    <row r="25" spans="9:9" ht="24.95" customHeight="1"/>
    <row r="26" spans="9:9" ht="24.95" customHeight="1"/>
    <row r="27" spans="9:9" ht="24.95" customHeight="1"/>
    <row r="28" spans="9:9" ht="24.95" customHeight="1"/>
    <row r="29" spans="9:9" ht="24.95" customHeight="1"/>
    <row r="30" spans="9:9" ht="24.95" customHeight="1"/>
    <row r="31" spans="9:9" ht="24.95" customHeight="1"/>
    <row r="32" spans="9:9" ht="24.95" customHeight="1"/>
    <row r="33" ht="24.95" customHeight="1"/>
    <row r="34" ht="24.95" customHeight="1"/>
    <row r="35" ht="24.95" customHeight="1"/>
    <row r="36" ht="24.95" customHeight="1"/>
  </sheetData>
  <mergeCells count="18">
    <mergeCell ref="I15:K15"/>
    <mergeCell ref="M7:O7"/>
    <mergeCell ref="M8:O8"/>
    <mergeCell ref="M15:O15"/>
    <mergeCell ref="I13:K13"/>
    <mergeCell ref="I14:K14"/>
    <mergeCell ref="M10:O10"/>
    <mergeCell ref="M11:O11"/>
    <mergeCell ref="M12:O12"/>
    <mergeCell ref="M13:O13"/>
    <mergeCell ref="M14:O14"/>
    <mergeCell ref="M9:O9"/>
    <mergeCell ref="M5:O5"/>
    <mergeCell ref="I5:K5"/>
    <mergeCell ref="I6:K6"/>
    <mergeCell ref="I7:K7"/>
    <mergeCell ref="I8:K8"/>
    <mergeCell ref="M6:O6"/>
  </mergeCells>
  <phoneticPr fontId="68" type="noConversion"/>
  <hyperlinks>
    <hyperlink ref="I8" location="'Gráfico Acero Crudo'!A1" display="»  Gráfico Acero Crudo" xr:uid="{00000000-0004-0000-0000-000000000000}"/>
    <hyperlink ref="I7" location="'Gráfico Mercado Siderúrgico '!A1" display="»  Gráfico Mercado Siderúrgico" xr:uid="{00000000-0004-0000-0000-000001000000}"/>
    <hyperlink ref="I6" location="'Gráfico Mercado Siderúrgico '!A1" display="»  Gráfico Comercio Siderúrgico" xr:uid="{00000000-0004-0000-0000-000002000000}"/>
    <hyperlink ref="I5" location="Macroeconomía!A1" display="»  Macroeconomía" xr:uid="{00000000-0004-0000-0000-000003000000}"/>
    <hyperlink ref="I14" location="'Hierro Primario 2015'!A1" display="»  Hierro Primario 2015" xr:uid="{00000000-0004-0000-0000-000004000000}"/>
    <hyperlink ref="I13" location="'Hierro Primario 2014'!A1" display="»  Hierro Primario 2014" xr:uid="{00000000-0004-0000-0000-000005000000}"/>
    <hyperlink ref="I11" location="'Producción Acero Crudo 2015'!A1" display="»  Producción Acero Crudo 2015" xr:uid="{00000000-0004-0000-0000-000006000000}"/>
    <hyperlink ref="I10" location="'Producción Acero Crudo 2014'!A1" display="»  Producción Acero Crudo 2014" xr:uid="{00000000-0004-0000-0000-000007000000}"/>
    <hyperlink ref="M6" location="'Producción Laminados 2015'!A1" display="»  Producción Laminados 2015" xr:uid="{00000000-0004-0000-0000-000008000000}"/>
    <hyperlink ref="M5" location="'Producción Laminados 2014'!A1" display="»  Producción Laminados 2014" xr:uid="{00000000-0004-0000-0000-000009000000}"/>
    <hyperlink ref="M14" location="'Consumo Aparente 2015'!A1" display="»  Consumos Aparente 2015" xr:uid="{00000000-0004-0000-0000-00000A000000}"/>
    <hyperlink ref="M13" location="'Consumo Aparente 2014'!A1" display="»  Consumo Aparente 2014" xr:uid="{00000000-0004-0000-0000-00000B000000}"/>
    <hyperlink ref="M11" location="'Expo 2015 '!A1" display="»  Exportaciones 2015" xr:uid="{00000000-0004-0000-0000-00000C000000}"/>
    <hyperlink ref="M10" location="'Expo 2014 '!A1" display="»  Exportaciones 2014" xr:uid="{00000000-0004-0000-0000-00000D000000}"/>
    <hyperlink ref="M8" location="'Impo 2015 '!A1" display="»  Importaciones 2015" xr:uid="{00000000-0004-0000-0000-00000E000000}"/>
    <hyperlink ref="M7" location="'Impo 2014 '!A1" display="»  Importaciones 2014" xr:uid="{00000000-0004-0000-0000-00000F000000}"/>
    <hyperlink ref="I9" location="'Producción Acero Crudo 2016'!A1" display="»  Producción Acero Crudo 2016" xr:uid="{00000000-0004-0000-0000-000010000000}"/>
    <hyperlink ref="I12" location="'Hierro Primario 2016'!A1" display="»  Hierro Primario 2016" xr:uid="{00000000-0004-0000-0000-000011000000}"/>
    <hyperlink ref="M9" location="'Impo 2016'!A1" display="»  Importaciones 2016" xr:uid="{00000000-0004-0000-0000-000012000000}"/>
    <hyperlink ref="M12" location="'Expo 2016'!A1" display="»  Exportaciones 2016" xr:uid="{00000000-0004-0000-0000-000013000000}"/>
    <hyperlink ref="M15" location="'Consumo Aparente 2016'!A1" display="»  Consumos Aparente 2016" xr:uid="{00000000-0004-0000-0000-000014000000}"/>
    <hyperlink ref="M7:O7" location="'Impo 2017'!A1" display="»  Importaciones 2017" xr:uid="{00000000-0004-0000-0000-000015000000}"/>
    <hyperlink ref="M9:O9" location="'Impo 2015 '!A1" display="»  Importaciones 2015" xr:uid="{00000000-0004-0000-0000-000016000000}"/>
    <hyperlink ref="M10:O10" location="'Expo 2017'!A1" display="»  Exportaciones 2017" xr:uid="{00000000-0004-0000-0000-000017000000}"/>
    <hyperlink ref="M12:O12" location="'Expo 2015 '!A1" display="»  Exportaciones 2015" xr:uid="{00000000-0004-0000-0000-000018000000}"/>
    <hyperlink ref="M13:O13" location="'Consumo Aparente 2017'!A1" display="»  Consumo Aparente 2017" xr:uid="{00000000-0004-0000-0000-000019000000}"/>
    <hyperlink ref="M15:O15" location="'Consumo Aparente 2015'!A1" display="»  Consumos Aparente 2015" xr:uid="{00000000-0004-0000-0000-00001A000000}"/>
    <hyperlink ref="I7:K7" location="'Resumen Comercio'!A1" display="»  Resumen Comercio" xr:uid="{00000000-0004-0000-0000-00001B000000}"/>
    <hyperlink ref="I8:K8" location="'Resumen Consumo'!A1" display="»  Resumen Consumo Aparente de Laminados" xr:uid="{00000000-0004-0000-0000-00001C000000}"/>
    <hyperlink ref="I10:K10" location="'Producción Acero Crudo 2017'!A1" display="»  Producción Acero Crudo 2016" xr:uid="{00000000-0004-0000-0000-00001D000000}"/>
    <hyperlink ref="I11:K11" location="'Producción Acero Crudo 2016'!A1" display="»  Producción Acero Crudo 2016" xr:uid="{00000000-0004-0000-0000-00001E000000}"/>
    <hyperlink ref="I13:K13" location="'Hierro Primario 2017'!A1" display="»  Hierro Primario 2017" xr:uid="{00000000-0004-0000-0000-00001F000000}"/>
    <hyperlink ref="I14:K14" location="'Hierro Primario 2016'!A1" display="»  Hierro Primario 2016" xr:uid="{00000000-0004-0000-0000-000020000000}"/>
    <hyperlink ref="M5:O5" location="'Producción Laminados 2017'!A1" display="»  Producción Laminados 2017" xr:uid="{00000000-0004-0000-0000-000021000000}"/>
    <hyperlink ref="M6:O6" location="'Producción Laminados 2016'!A1" display="»  Producción Laminados 2016" xr:uid="{00000000-0004-0000-0000-000022000000}"/>
    <hyperlink ref="M8:O8" location="'Impo 2016 '!A1" display="»  Importaciones 2016" xr:uid="{00000000-0004-0000-0000-000023000000}"/>
    <hyperlink ref="M11:O11" location="'Expo 2016 '!A1" display="»  Exportaciones 2016" xr:uid="{00000000-0004-0000-0000-000024000000}"/>
    <hyperlink ref="M14:O14" location="'Consumo Aparente 2016'!A1" display="»  Consumos Aparente 2016" xr:uid="{00000000-0004-0000-0000-000025000000}"/>
    <hyperlink ref="I9:K9" location="'Producción Acero Crudo 2018'!A1" display="»  Producción Acero Crudo 2015" xr:uid="{00000000-0004-0000-0000-000026000000}"/>
    <hyperlink ref="I12:K12" location="'Hierro Primario 2018'!A1" display="»  Hierro Primario 2015" xr:uid="{00000000-0004-0000-0000-000027000000}"/>
    <hyperlink ref="I15" location="'Producción Laminados 2014'!A1" display="»  Producción Laminados 2014" xr:uid="{00000000-0004-0000-0000-000028000000}"/>
    <hyperlink ref="I15:K15" location="'Producción Laminados 2018'!A1" display="»  Producción Laminados 2018" xr:uid="{00000000-0004-0000-0000-000029000000}"/>
  </hyperlinks>
  <pageMargins left="0.75" right="0.75" top="1" bottom="1" header="0" footer="0"/>
  <pageSetup orientation="portrait" horizontalDpi="360" verticalDpi="360" r:id="rId1"/>
  <headerFooter alignWithMargins="0">
    <oddFooter>&amp;L© Alacero 2014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8"/>
  <sheetViews>
    <sheetView zoomScale="70" zoomScaleNormal="70" zoomScaleSheetLayoutView="75" workbookViewId="0">
      <pane xSplit="3" ySplit="2" topLeftCell="D35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1:18" s="8" customFormat="1" ht="38.25" customHeight="1" thickBot="1">
      <c r="A1" s="38" t="s">
        <v>41</v>
      </c>
      <c r="B1" s="22" t="s">
        <v>113</v>
      </c>
      <c r="O1" s="9"/>
      <c r="P1" s="87" t="s">
        <v>111</v>
      </c>
    </row>
    <row r="2" spans="1:18" ht="30" customHeight="1" thickTop="1">
      <c r="B2" s="33" t="s">
        <v>36</v>
      </c>
      <c r="C2" s="21" t="s">
        <v>23</v>
      </c>
      <c r="D2" s="43" t="s">
        <v>27</v>
      </c>
      <c r="E2" s="43" t="s">
        <v>28</v>
      </c>
      <c r="F2" s="43" t="s">
        <v>26</v>
      </c>
      <c r="G2" s="43" t="s">
        <v>22</v>
      </c>
      <c r="H2" s="43" t="s">
        <v>29</v>
      </c>
      <c r="I2" s="43" t="s">
        <v>30</v>
      </c>
      <c r="J2" s="43" t="s">
        <v>31</v>
      </c>
      <c r="K2" s="43" t="s">
        <v>32</v>
      </c>
      <c r="L2" s="43" t="s">
        <v>33</v>
      </c>
      <c r="M2" s="43" t="s">
        <v>24</v>
      </c>
      <c r="N2" s="43" t="s">
        <v>34</v>
      </c>
      <c r="O2" s="43" t="s">
        <v>35</v>
      </c>
      <c r="P2" s="43" t="s">
        <v>25</v>
      </c>
    </row>
    <row r="3" spans="1:18" ht="18" customHeight="1" thickBot="1">
      <c r="B3" s="259" t="s">
        <v>0</v>
      </c>
      <c r="C3" s="29" t="s">
        <v>13</v>
      </c>
      <c r="D3" s="34">
        <v>169</v>
      </c>
      <c r="E3" s="34">
        <v>178.02500000000001</v>
      </c>
      <c r="F3" s="34">
        <v>242.95699999999999</v>
      </c>
      <c r="G3" s="34">
        <v>250.07300000000001</v>
      </c>
      <c r="H3" s="34">
        <v>246.452</v>
      </c>
      <c r="I3" s="34">
        <v>242.77799999999999</v>
      </c>
      <c r="J3" s="34">
        <v>236.68199999999999</v>
      </c>
      <c r="K3" s="34">
        <v>216.941</v>
      </c>
      <c r="L3" s="34">
        <v>240.61099999999999</v>
      </c>
      <c r="M3" s="34">
        <v>241.79499999999999</v>
      </c>
      <c r="N3" s="34">
        <v>231.95500000000001</v>
      </c>
      <c r="O3" s="34">
        <v>243.565</v>
      </c>
      <c r="P3" s="34">
        <v>2740.8340000000003</v>
      </c>
    </row>
    <row r="4" spans="1:18" ht="18" customHeight="1" thickTop="1" thickBot="1">
      <c r="B4" s="260"/>
      <c r="C4" s="29" t="s">
        <v>14</v>
      </c>
      <c r="D4" s="34">
        <v>228</v>
      </c>
      <c r="E4" s="34">
        <v>202.30799999999999</v>
      </c>
      <c r="F4" s="34">
        <v>228.797</v>
      </c>
      <c r="G4" s="34">
        <v>235.71199999999999</v>
      </c>
      <c r="H4" s="34">
        <v>236.43600000000001</v>
      </c>
      <c r="I4" s="34">
        <v>234.642</v>
      </c>
      <c r="J4" s="34">
        <v>239.97399999999999</v>
      </c>
      <c r="K4" s="34">
        <v>250.44200000000001</v>
      </c>
      <c r="L4" s="34">
        <v>223.20400000000001</v>
      </c>
      <c r="M4" s="34">
        <v>235.739</v>
      </c>
      <c r="N4" s="34">
        <v>229.35</v>
      </c>
      <c r="O4" s="34">
        <v>202.62</v>
      </c>
      <c r="P4" s="34">
        <v>2747.2239999999997</v>
      </c>
    </row>
    <row r="5" spans="1:18" ht="18" customHeight="1" thickTop="1" thickBot="1">
      <c r="B5" s="260"/>
      <c r="C5" s="29" t="s">
        <v>8</v>
      </c>
      <c r="D5" s="34">
        <v>397</v>
      </c>
      <c r="E5" s="34">
        <v>380.33299999999997</v>
      </c>
      <c r="F5" s="34">
        <v>471.75400000000002</v>
      </c>
      <c r="G5" s="34">
        <v>485.78499999999997</v>
      </c>
      <c r="H5" s="34">
        <v>482.88800000000003</v>
      </c>
      <c r="I5" s="34">
        <v>477.41999999999996</v>
      </c>
      <c r="J5" s="34">
        <v>476.65599999999995</v>
      </c>
      <c r="K5" s="34">
        <v>467.38300000000004</v>
      </c>
      <c r="L5" s="34">
        <v>463.815</v>
      </c>
      <c r="M5" s="34">
        <v>477.53399999999999</v>
      </c>
      <c r="N5" s="34">
        <v>461.30500000000001</v>
      </c>
      <c r="O5" s="34">
        <v>446.185</v>
      </c>
      <c r="P5" s="34">
        <v>5488.058</v>
      </c>
    </row>
    <row r="6" spans="1:18" ht="18" customHeight="1" thickTop="1" thickBot="1">
      <c r="B6" s="260"/>
      <c r="C6" s="32" t="s">
        <v>40</v>
      </c>
      <c r="D6" s="35">
        <v>0.24052033109706353</v>
      </c>
      <c r="E6" s="35">
        <v>0.18569495710295272</v>
      </c>
      <c r="F6" s="35">
        <v>8.8987645238488566E-3</v>
      </c>
      <c r="G6" s="35">
        <v>0.13253492362496952</v>
      </c>
      <c r="H6" s="35">
        <v>7.6102313599472379E-2</v>
      </c>
      <c r="I6" s="35">
        <v>0.14622522598225748</v>
      </c>
      <c r="J6" s="35">
        <v>3.2771363137037386E-2</v>
      </c>
      <c r="K6" s="35">
        <v>-2.4138521413776814E-2</v>
      </c>
      <c r="L6" s="35">
        <v>2.6416309801489363E-3</v>
      </c>
      <c r="M6" s="35">
        <v>4.3995273650597819E-4</v>
      </c>
      <c r="N6" s="35">
        <v>-1.6870515173020809E-2</v>
      </c>
      <c r="O6" s="35">
        <v>2.899122260812605E-2</v>
      </c>
      <c r="P6" s="35">
        <v>5.8284886972203326E-2</v>
      </c>
    </row>
    <row r="7" spans="1:18" ht="18" customHeight="1" thickTop="1" thickBot="1">
      <c r="B7" s="260" t="s">
        <v>37</v>
      </c>
      <c r="C7" s="29" t="s">
        <v>13</v>
      </c>
      <c r="D7" s="72">
        <v>683.83910000000003</v>
      </c>
      <c r="E7" s="72">
        <v>723.71310000000005</v>
      </c>
      <c r="F7" s="72">
        <v>775.54930000000002</v>
      </c>
      <c r="G7" s="72">
        <v>733.6816</v>
      </c>
      <c r="H7" s="72">
        <v>745.64380000000006</v>
      </c>
      <c r="I7" s="72">
        <v>571.19505000000004</v>
      </c>
      <c r="J7" s="72">
        <v>682.84225000000004</v>
      </c>
      <c r="K7" s="72">
        <v>640.97455000000002</v>
      </c>
      <c r="L7" s="72">
        <v>647.95249999999999</v>
      </c>
      <c r="M7" s="72">
        <v>715.73829999999998</v>
      </c>
      <c r="N7" s="72">
        <v>648.94934999999998</v>
      </c>
      <c r="O7" s="72">
        <v>282.10854999999998</v>
      </c>
      <c r="P7" s="72">
        <f>+SUM(D7:O7)</f>
        <v>7852.1874500000004</v>
      </c>
    </row>
    <row r="8" spans="1:18" ht="18" customHeight="1" thickTop="1" thickBot="1">
      <c r="B8" s="260"/>
      <c r="C8" s="29" t="s">
        <v>14</v>
      </c>
      <c r="D8" s="72">
        <v>2062.4826499999999</v>
      </c>
      <c r="E8" s="72">
        <v>1896.0087000000001</v>
      </c>
      <c r="F8" s="72">
        <v>2213.0070000000001</v>
      </c>
      <c r="G8" s="72">
        <v>2050.52045</v>
      </c>
      <c r="H8" s="72">
        <v>2128.27475</v>
      </c>
      <c r="I8" s="72">
        <v>2153.1959999999999</v>
      </c>
      <c r="J8" s="72">
        <v>2275.8085500000002</v>
      </c>
      <c r="K8" s="72">
        <v>2320.6668</v>
      </c>
      <c r="L8" s="72">
        <v>2248.8935999999999</v>
      </c>
      <c r="M8" s="72">
        <v>2338.6100999999999</v>
      </c>
      <c r="N8" s="72">
        <v>2019.6181000000001</v>
      </c>
      <c r="O8" s="72">
        <v>2337.6132499999999</v>
      </c>
      <c r="P8" s="72">
        <f>+SUM(D8:O8)</f>
        <v>26044.699949999998</v>
      </c>
    </row>
    <row r="9" spans="1:18" ht="18" customHeight="1" thickTop="1" thickBot="1">
      <c r="B9" s="260"/>
      <c r="C9" s="29" t="s">
        <v>8</v>
      </c>
      <c r="D9" s="72">
        <f>+D8+D7</f>
        <v>2746.3217500000001</v>
      </c>
      <c r="E9" s="72">
        <f t="shared" ref="E9:O9" si="0">+E8+E7</f>
        <v>2619.7218000000003</v>
      </c>
      <c r="F9" s="72">
        <f t="shared" si="0"/>
        <v>2988.5563000000002</v>
      </c>
      <c r="G9" s="72">
        <f t="shared" si="0"/>
        <v>2784.2020499999999</v>
      </c>
      <c r="H9" s="72">
        <f t="shared" si="0"/>
        <v>2873.9185500000003</v>
      </c>
      <c r="I9" s="72">
        <f t="shared" si="0"/>
        <v>2724.3910500000002</v>
      </c>
      <c r="J9" s="72">
        <f t="shared" si="0"/>
        <v>2958.6508000000003</v>
      </c>
      <c r="K9" s="72">
        <f t="shared" si="0"/>
        <v>2961.6413499999999</v>
      </c>
      <c r="L9" s="72">
        <f t="shared" si="0"/>
        <v>2896.8460999999998</v>
      </c>
      <c r="M9" s="72">
        <f t="shared" si="0"/>
        <v>3054.3483999999999</v>
      </c>
      <c r="N9" s="72">
        <f t="shared" si="0"/>
        <v>2668.56745</v>
      </c>
      <c r="O9" s="72">
        <f t="shared" si="0"/>
        <v>2619.7217999999998</v>
      </c>
      <c r="P9" s="72">
        <f>+SUM(D9:O9)</f>
        <v>33896.8874</v>
      </c>
      <c r="R9" s="72">
        <v>0.99685000000000001</v>
      </c>
    </row>
    <row r="10" spans="1:18" ht="18" customHeight="1" thickTop="1" thickBot="1">
      <c r="B10" s="260"/>
      <c r="C10" s="32" t="s">
        <v>40</v>
      </c>
      <c r="D10" s="228">
        <v>-8.6455331412103754E-3</v>
      </c>
      <c r="E10" s="228">
        <v>1.6673129119813883E-2</v>
      </c>
      <c r="F10" s="228">
        <v>5.0210674157303369E-2</v>
      </c>
      <c r="G10" s="228">
        <v>-4.3880699348645871E-2</v>
      </c>
      <c r="H10" s="228">
        <v>-4.4562687063518458E-2</v>
      </c>
      <c r="I10" s="228">
        <v>-3.7154989384288746E-2</v>
      </c>
      <c r="J10" s="228">
        <v>1.5099519560741249E-2</v>
      </c>
      <c r="K10" s="228">
        <v>-1.0040160642570281E-2</v>
      </c>
      <c r="L10" s="228">
        <v>-2.7899159663865546E-2</v>
      </c>
      <c r="M10" s="228">
        <v>2.6926960619320095E-2</v>
      </c>
      <c r="N10" s="228">
        <v>-1.1082379017362394E-2</v>
      </c>
      <c r="O10" s="228">
        <v>-1.0169491525423728E-2</v>
      </c>
      <c r="P10" s="228">
        <v>-7.3471299358955598E-3</v>
      </c>
    </row>
    <row r="11" spans="1:18" ht="18" customHeight="1" thickTop="1" thickBot="1">
      <c r="B11" s="260" t="s">
        <v>1</v>
      </c>
      <c r="C11" s="29" t="s">
        <v>13</v>
      </c>
      <c r="D11" s="34">
        <v>35.640999999999998</v>
      </c>
      <c r="E11" s="34">
        <v>39.064</v>
      </c>
      <c r="F11" s="34">
        <v>47.978999999999999</v>
      </c>
      <c r="G11" s="34">
        <v>39.308999999999997</v>
      </c>
      <c r="H11" s="34">
        <v>18.824000000000002</v>
      </c>
      <c r="I11" s="34">
        <v>30.824000000000002</v>
      </c>
      <c r="J11" s="34">
        <v>29.622</v>
      </c>
      <c r="K11" s="34">
        <v>32.030999999999999</v>
      </c>
      <c r="L11" s="34">
        <v>21.422999999999998</v>
      </c>
      <c r="M11" s="34">
        <v>30.550999999999998</v>
      </c>
      <c r="N11" s="34">
        <v>29.021999999999998</v>
      </c>
      <c r="O11" s="34">
        <v>27.962</v>
      </c>
      <c r="P11" s="34">
        <v>382.25200000000001</v>
      </c>
      <c r="R11" s="36"/>
    </row>
    <row r="12" spans="1:18" ht="18" customHeight="1" thickTop="1" thickBot="1">
      <c r="B12" s="260"/>
      <c r="C12" s="29" t="s">
        <v>14</v>
      </c>
      <c r="D12" s="34">
        <v>59.341999999999999</v>
      </c>
      <c r="E12" s="34">
        <v>50.798999999999999</v>
      </c>
      <c r="F12" s="34">
        <v>60.677999999999997</v>
      </c>
      <c r="G12" s="34">
        <v>57.457000000000001</v>
      </c>
      <c r="H12" s="34">
        <v>59.853000000000002</v>
      </c>
      <c r="I12" s="34">
        <v>51.84</v>
      </c>
      <c r="J12" s="34">
        <v>62.002000000000002</v>
      </c>
      <c r="K12" s="34">
        <v>61.606000000000002</v>
      </c>
      <c r="L12" s="34">
        <v>54.884</v>
      </c>
      <c r="M12" s="34">
        <v>61.287999999999997</v>
      </c>
      <c r="N12" s="34">
        <v>54.15</v>
      </c>
      <c r="O12" s="34">
        <v>63.011000000000003</v>
      </c>
      <c r="P12" s="34">
        <v>696.90999999999985</v>
      </c>
    </row>
    <row r="13" spans="1:18" ht="18" customHeight="1" thickTop="1" thickBot="1">
      <c r="B13" s="260"/>
      <c r="C13" s="29" t="s">
        <v>8</v>
      </c>
      <c r="D13" s="34">
        <v>94.983000000000004</v>
      </c>
      <c r="E13" s="34">
        <v>89.863</v>
      </c>
      <c r="F13" s="34">
        <v>108.657</v>
      </c>
      <c r="G13" s="34">
        <v>96.765999999999991</v>
      </c>
      <c r="H13" s="34">
        <v>78.677000000000007</v>
      </c>
      <c r="I13" s="34">
        <v>82.664000000000001</v>
      </c>
      <c r="J13" s="34">
        <v>91.623999999999995</v>
      </c>
      <c r="K13" s="34">
        <v>93.637</v>
      </c>
      <c r="L13" s="34">
        <v>76.307000000000002</v>
      </c>
      <c r="M13" s="34">
        <v>91.838999999999999</v>
      </c>
      <c r="N13" s="34">
        <v>83.171999999999997</v>
      </c>
      <c r="O13" s="34">
        <v>90.972999999999999</v>
      </c>
      <c r="P13" s="34">
        <v>1079.162</v>
      </c>
    </row>
    <row r="14" spans="1:18" ht="18" customHeight="1" thickTop="1" thickBot="1">
      <c r="B14" s="260"/>
      <c r="C14" s="32" t="s">
        <v>40</v>
      </c>
      <c r="D14" s="35">
        <v>-0.32440679412768852</v>
      </c>
      <c r="E14" s="35">
        <v>-0.19338826655177357</v>
      </c>
      <c r="F14" s="35">
        <v>0.11769788612868377</v>
      </c>
      <c r="G14" s="35">
        <v>-2.4723087311906016E-2</v>
      </c>
      <c r="H14" s="35">
        <v>-0.17217832303953021</v>
      </c>
      <c r="I14" s="35">
        <v>-0.34950699958293663</v>
      </c>
      <c r="J14" s="35">
        <v>-0.27987236015813516</v>
      </c>
      <c r="K14" s="35">
        <v>-0.17394909796656524</v>
      </c>
      <c r="L14" s="35">
        <v>-0.20467976444838182</v>
      </c>
      <c r="M14" s="35">
        <v>-0.16758966364237876</v>
      </c>
      <c r="N14" s="35">
        <v>-0.22264799895321236</v>
      </c>
      <c r="O14" s="35">
        <v>-7.3169986246243213E-2</v>
      </c>
      <c r="P14" s="35">
        <v>-0.18403859167602321</v>
      </c>
    </row>
    <row r="15" spans="1:18" ht="18" customHeight="1" thickTop="1" thickBot="1">
      <c r="B15" s="260" t="s">
        <v>2</v>
      </c>
      <c r="C15" s="29" t="s">
        <v>13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8" ht="18" customHeight="1" thickTop="1" thickBot="1">
      <c r="B16" s="260"/>
      <c r="C16" s="29" t="s">
        <v>14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ht="18" customHeight="1" thickTop="1" thickBot="1">
      <c r="B17" s="260"/>
      <c r="C17" s="29" t="s">
        <v>8</v>
      </c>
      <c r="D17" s="34">
        <v>85.88</v>
      </c>
      <c r="E17" s="34">
        <v>66.882000000000005</v>
      </c>
      <c r="F17" s="34">
        <v>116.95399999999999</v>
      </c>
      <c r="G17" s="34">
        <v>110.34699999999999</v>
      </c>
      <c r="H17" s="34">
        <v>11.632</v>
      </c>
      <c r="I17" s="34">
        <v>103.369</v>
      </c>
      <c r="J17" s="34">
        <v>114.741</v>
      </c>
      <c r="K17" s="34">
        <v>93.105999999999995</v>
      </c>
      <c r="L17" s="34">
        <v>107.39400000000001</v>
      </c>
      <c r="M17" s="34">
        <v>106.83199999999999</v>
      </c>
      <c r="N17" s="34">
        <v>102.239</v>
      </c>
      <c r="O17" s="34">
        <v>98.8</v>
      </c>
      <c r="P17" s="34">
        <v>1118.1759999999999</v>
      </c>
    </row>
    <row r="18" spans="2:16" ht="18" customHeight="1" thickTop="1" thickBot="1">
      <c r="B18" s="260"/>
      <c r="C18" s="32" t="s">
        <v>40</v>
      </c>
      <c r="D18" s="35">
        <v>-2.4926341261216789E-2</v>
      </c>
      <c r="E18" s="35">
        <v>-0.24033155368118808</v>
      </c>
      <c r="F18" s="35">
        <v>0.18074681674849322</v>
      </c>
      <c r="G18" s="35">
        <v>-3.1908618008258641E-3</v>
      </c>
      <c r="H18" s="35">
        <v>1.1607837526046109E-2</v>
      </c>
      <c r="I18" s="35">
        <v>-8.5633960221419017E-2</v>
      </c>
      <c r="J18" s="35">
        <v>4.2841341354844027E-2</v>
      </c>
      <c r="K18" s="35">
        <v>-6.3107520569887901E-2</v>
      </c>
      <c r="L18" s="35">
        <v>-4.8214881548214877E-2</v>
      </c>
      <c r="M18" s="35">
        <v>-4.0151464039940597E-2</v>
      </c>
      <c r="N18" s="35">
        <v>-2.8604174795161964E-2</v>
      </c>
      <c r="O18" s="35">
        <v>3.0000000000000044E-2</v>
      </c>
      <c r="P18" s="35">
        <v>-2.2806935654925573E-2</v>
      </c>
    </row>
    <row r="19" spans="2:16" s="3" customFormat="1" ht="18" customHeight="1" thickTop="1" thickBot="1">
      <c r="B19" s="260" t="s">
        <v>9</v>
      </c>
      <c r="C19" s="29" t="s">
        <v>13</v>
      </c>
      <c r="D19" s="34">
        <v>23.56</v>
      </c>
      <c r="E19" s="34">
        <v>20.923999999999999</v>
      </c>
      <c r="F19" s="34">
        <v>20.114999999999998</v>
      </c>
      <c r="G19" s="34">
        <v>23.800999999999998</v>
      </c>
      <c r="H19" s="34">
        <v>22.091999999999999</v>
      </c>
      <c r="I19" s="34">
        <v>18.123999999999999</v>
      </c>
      <c r="J19" s="34">
        <v>20.681000000000001</v>
      </c>
      <c r="K19" s="34">
        <v>20.521999999999998</v>
      </c>
      <c r="L19" s="34">
        <v>18.818000000000001</v>
      </c>
      <c r="M19" s="34">
        <v>22.632000000000001</v>
      </c>
      <c r="N19" s="34">
        <v>21.210999999999999</v>
      </c>
      <c r="O19" s="34">
        <v>23.943000000000001</v>
      </c>
      <c r="P19" s="34">
        <v>256.423</v>
      </c>
    </row>
    <row r="20" spans="2:16" s="3" customFormat="1" ht="18" customHeight="1" thickTop="1" thickBot="1">
      <c r="B20" s="260"/>
      <c r="C20" s="29" t="s">
        <v>14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</row>
    <row r="21" spans="2:16" s="3" customFormat="1" ht="18" customHeight="1" thickTop="1" thickBot="1">
      <c r="B21" s="260"/>
      <c r="C21" s="29" t="s">
        <v>8</v>
      </c>
      <c r="D21" s="34">
        <v>23.56</v>
      </c>
      <c r="E21" s="34">
        <v>20.923999999999999</v>
      </c>
      <c r="F21" s="34">
        <v>20.114999999999998</v>
      </c>
      <c r="G21" s="34">
        <v>23.800999999999998</v>
      </c>
      <c r="H21" s="34">
        <v>22.091999999999999</v>
      </c>
      <c r="I21" s="34">
        <v>18.123999999999999</v>
      </c>
      <c r="J21" s="34">
        <v>20.681000000000001</v>
      </c>
      <c r="K21" s="34">
        <v>20.521999999999998</v>
      </c>
      <c r="L21" s="34">
        <v>18.818000000000001</v>
      </c>
      <c r="M21" s="34">
        <v>22.632000000000001</v>
      </c>
      <c r="N21" s="34">
        <v>21.210999999999999</v>
      </c>
      <c r="O21" s="34">
        <v>23.943000000000001</v>
      </c>
      <c r="P21" s="34">
        <v>256.423</v>
      </c>
    </row>
    <row r="22" spans="2:16" s="3" customFormat="1" ht="18" customHeight="1" thickTop="1" thickBot="1">
      <c r="B22" s="260"/>
      <c r="C22" s="32" t="s">
        <v>40</v>
      </c>
      <c r="D22" s="35">
        <v>0.16213683223992498</v>
      </c>
      <c r="E22" s="35">
        <v>-1.7006483134454659E-2</v>
      </c>
      <c r="F22" s="35">
        <v>-0.10004026665473584</v>
      </c>
      <c r="G22" s="35">
        <v>1.4189534685529163E-2</v>
      </c>
      <c r="H22" s="35">
        <v>-0.10344547705044436</v>
      </c>
      <c r="I22" s="35">
        <v>-0.29950141073706188</v>
      </c>
      <c r="J22" s="35">
        <v>-0.23874553686457836</v>
      </c>
      <c r="K22" s="35">
        <v>-0.26659995711528844</v>
      </c>
      <c r="L22" s="35">
        <v>-0.37170712163199887</v>
      </c>
      <c r="M22" s="35">
        <v>-0.28033579241923173</v>
      </c>
      <c r="N22" s="35">
        <v>-0.35763173834039985</v>
      </c>
      <c r="O22" s="35">
        <v>-0.3094228606039629</v>
      </c>
      <c r="P22" s="35">
        <v>-0.20397912650443445</v>
      </c>
    </row>
    <row r="23" spans="2:16" s="3" customFormat="1" ht="18" customHeight="1" thickTop="1">
      <c r="B23" s="256" t="s">
        <v>4</v>
      </c>
      <c r="C23" s="29" t="s">
        <v>13</v>
      </c>
      <c r="D23" s="34">
        <v>49.26</v>
      </c>
      <c r="E23" s="34">
        <v>47.283000000000001</v>
      </c>
      <c r="F23" s="34">
        <v>54.338000000000001</v>
      </c>
      <c r="G23" s="34">
        <v>53.64</v>
      </c>
      <c r="H23" s="34">
        <v>56.503</v>
      </c>
      <c r="I23" s="34">
        <v>58.436999999999998</v>
      </c>
      <c r="J23" s="34">
        <v>59.302</v>
      </c>
      <c r="K23" s="34">
        <v>58.31</v>
      </c>
      <c r="L23" s="34">
        <v>61.468000000000004</v>
      </c>
      <c r="M23" s="34">
        <v>57.665999999999997</v>
      </c>
      <c r="N23" s="34">
        <v>57.085999999999999</v>
      </c>
      <c r="O23" s="34">
        <v>53.966000000000001</v>
      </c>
      <c r="P23" s="34">
        <v>667.25900000000013</v>
      </c>
    </row>
    <row r="24" spans="2:16" s="3" customFormat="1" ht="18" customHeight="1">
      <c r="B24" s="257"/>
      <c r="C24" s="29" t="s">
        <v>14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2:16" s="3" customFormat="1" ht="18" customHeight="1">
      <c r="B25" s="257"/>
      <c r="C25" s="29" t="s">
        <v>8</v>
      </c>
      <c r="D25" s="34">
        <v>49.26</v>
      </c>
      <c r="E25" s="34">
        <v>47.283000000000001</v>
      </c>
      <c r="F25" s="34">
        <v>54.338000000000001</v>
      </c>
      <c r="G25" s="34">
        <v>53.64</v>
      </c>
      <c r="H25" s="34">
        <v>56.503</v>
      </c>
      <c r="I25" s="34">
        <v>58.436999999999998</v>
      </c>
      <c r="J25" s="34">
        <v>59.302</v>
      </c>
      <c r="K25" s="34">
        <v>58.31</v>
      </c>
      <c r="L25" s="34">
        <v>61.468000000000004</v>
      </c>
      <c r="M25" s="34">
        <v>57.665999999999997</v>
      </c>
      <c r="N25" s="34">
        <v>57.085999999999999</v>
      </c>
      <c r="O25" s="34">
        <v>53.966000000000001</v>
      </c>
      <c r="P25" s="34">
        <v>667.25900000000013</v>
      </c>
    </row>
    <row r="26" spans="2:16" s="3" customFormat="1" ht="18" customHeight="1" thickBot="1">
      <c r="B26" s="258"/>
      <c r="C26" s="32" t="s">
        <v>40</v>
      </c>
      <c r="D26" s="35">
        <v>7.2034820457018395E-2</v>
      </c>
      <c r="E26" s="35">
        <v>1.1682392964888618E-2</v>
      </c>
      <c r="F26" s="35">
        <v>0.24417273434995654</v>
      </c>
      <c r="G26" s="35">
        <v>0.36031649421789402</v>
      </c>
      <c r="H26" s="35">
        <v>0.23934548485446686</v>
      </c>
      <c r="I26" s="35">
        <v>0.20312532169401495</v>
      </c>
      <c r="J26" s="35">
        <v>0.17281069535638002</v>
      </c>
      <c r="K26" s="35">
        <v>0.1001264079391733</v>
      </c>
      <c r="L26" s="35">
        <v>0.16892649995245798</v>
      </c>
      <c r="M26" s="35">
        <v>0.18286804373243626</v>
      </c>
      <c r="N26" s="35">
        <v>0.2103209939363101</v>
      </c>
      <c r="O26" s="35">
        <v>0.12389362100922585</v>
      </c>
      <c r="P26" s="35">
        <v>0.17054562741978221</v>
      </c>
    </row>
    <row r="27" spans="2:16" s="3" customFormat="1" ht="18" customHeight="1" thickTop="1">
      <c r="B27" s="256" t="s">
        <v>10</v>
      </c>
      <c r="C27" s="29" t="s">
        <v>13</v>
      </c>
      <c r="D27" s="30">
        <v>8</v>
      </c>
      <c r="E27" s="30">
        <v>8.4</v>
      </c>
      <c r="F27" s="30">
        <v>8.6952600000000011</v>
      </c>
      <c r="G27" s="30">
        <v>8.7385199999999994</v>
      </c>
      <c r="H27" s="30">
        <v>9.1752400000000005</v>
      </c>
      <c r="I27" s="30">
        <v>9.6335899999999999</v>
      </c>
      <c r="J27" s="30">
        <v>10.115629999999999</v>
      </c>
      <c r="K27" s="30">
        <v>10.621359999999999</v>
      </c>
      <c r="L27" s="30">
        <v>11.152839999999999</v>
      </c>
      <c r="M27" s="30">
        <v>11.71007</v>
      </c>
      <c r="N27" s="30">
        <v>12.295109999999999</v>
      </c>
      <c r="O27" s="30">
        <v>12.910020000000001</v>
      </c>
      <c r="P27" s="34">
        <v>121.44763999999999</v>
      </c>
    </row>
    <row r="28" spans="2:16" s="3" customFormat="1" ht="18" customHeight="1">
      <c r="B28" s="257"/>
      <c r="C28" s="29" t="s">
        <v>14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4">
        <v>0</v>
      </c>
      <c r="O28" s="34">
        <v>0</v>
      </c>
      <c r="P28" s="34">
        <v>0</v>
      </c>
    </row>
    <row r="29" spans="2:16" s="3" customFormat="1" ht="18" customHeight="1">
      <c r="B29" s="257"/>
      <c r="C29" s="29" t="s">
        <v>8</v>
      </c>
      <c r="D29" s="30">
        <v>8</v>
      </c>
      <c r="E29" s="30">
        <v>8.4</v>
      </c>
      <c r="F29" s="30">
        <v>8.6952600000000011</v>
      </c>
      <c r="G29" s="30">
        <v>8.7385199999999994</v>
      </c>
      <c r="H29" s="30">
        <v>9.1752400000000005</v>
      </c>
      <c r="I29" s="30">
        <v>9.6335899999999999</v>
      </c>
      <c r="J29" s="30">
        <v>10.115629999999999</v>
      </c>
      <c r="K29" s="30">
        <v>10.621359999999999</v>
      </c>
      <c r="L29" s="30">
        <v>11.152839999999999</v>
      </c>
      <c r="M29" s="30">
        <v>11.71007</v>
      </c>
      <c r="N29" s="30">
        <v>12.295109999999999</v>
      </c>
      <c r="O29" s="30">
        <v>12.910020000000001</v>
      </c>
      <c r="P29" s="34">
        <v>121.44763999999999</v>
      </c>
    </row>
    <row r="30" spans="2:16" s="3" customFormat="1" ht="18" customHeight="1" thickBot="1">
      <c r="B30" s="258"/>
      <c r="C30" s="32" t="s">
        <v>40</v>
      </c>
      <c r="D30" s="37">
        <v>0</v>
      </c>
      <c r="E30" s="37">
        <v>0</v>
      </c>
      <c r="F30" s="37">
        <v>3.000000000000011E-2</v>
      </c>
      <c r="G30" s="37">
        <v>2.999999999999993E-2</v>
      </c>
      <c r="H30" s="37">
        <v>3.0000000000000117E-2</v>
      </c>
      <c r="I30" s="37">
        <v>3.0000000000000013E-2</v>
      </c>
      <c r="J30" s="37">
        <v>2.9999999999999971E-2</v>
      </c>
      <c r="K30" s="37">
        <v>2.9999999999999988E-2</v>
      </c>
      <c r="L30" s="37">
        <v>3.0000000000000002E-2</v>
      </c>
      <c r="M30" s="37">
        <v>3.000000000000002E-2</v>
      </c>
      <c r="N30" s="37">
        <v>2.9999999999999995E-2</v>
      </c>
      <c r="O30" s="35">
        <v>3.0000000000000037E-2</v>
      </c>
      <c r="P30" s="35">
        <v>2.5844173395952186E-2</v>
      </c>
    </row>
    <row r="31" spans="2:16" s="3" customFormat="1" ht="18" customHeight="1" thickTop="1" thickBot="1">
      <c r="B31" s="260" t="s">
        <v>11</v>
      </c>
      <c r="C31" s="29" t="s">
        <v>13</v>
      </c>
      <c r="D31" s="30">
        <v>26</v>
      </c>
      <c r="E31" s="30">
        <v>27.3</v>
      </c>
      <c r="F31" s="30">
        <v>28.260110000000001</v>
      </c>
      <c r="G31" s="30">
        <v>28.401220000000002</v>
      </c>
      <c r="H31" s="30">
        <v>29.82159</v>
      </c>
      <c r="I31" s="30">
        <v>31.313030000000001</v>
      </c>
      <c r="J31" s="30">
        <v>32.878630000000001</v>
      </c>
      <c r="K31" s="30">
        <v>34.522510000000004</v>
      </c>
      <c r="L31" s="30">
        <v>36.24879</v>
      </c>
      <c r="M31" s="30">
        <v>38.061590000000002</v>
      </c>
      <c r="N31" s="30">
        <v>39.965030000000006</v>
      </c>
      <c r="O31" s="30">
        <v>41.963230000000003</v>
      </c>
      <c r="P31" s="34">
        <v>394.73573000000005</v>
      </c>
    </row>
    <row r="32" spans="2:16" s="3" customFormat="1" ht="18" customHeight="1" thickTop="1" thickBot="1">
      <c r="B32" s="260"/>
      <c r="C32" s="29" t="s">
        <v>14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4">
        <v>0</v>
      </c>
    </row>
    <row r="33" spans="2:16" s="3" customFormat="1" ht="18" customHeight="1" thickTop="1" thickBot="1">
      <c r="B33" s="260"/>
      <c r="C33" s="29" t="s">
        <v>8</v>
      </c>
      <c r="D33" s="30">
        <v>26</v>
      </c>
      <c r="E33" s="30">
        <v>27.3</v>
      </c>
      <c r="F33" s="30">
        <v>28.260110000000001</v>
      </c>
      <c r="G33" s="30">
        <v>28.401220000000002</v>
      </c>
      <c r="H33" s="30">
        <v>29.82159</v>
      </c>
      <c r="I33" s="30">
        <v>31.313030000000001</v>
      </c>
      <c r="J33" s="30">
        <v>32.878630000000001</v>
      </c>
      <c r="K33" s="30">
        <v>34.522510000000004</v>
      </c>
      <c r="L33" s="30">
        <v>36.24879</v>
      </c>
      <c r="M33" s="30">
        <v>38.061590000000002</v>
      </c>
      <c r="N33" s="30">
        <v>39.965030000000006</v>
      </c>
      <c r="O33" s="30">
        <v>41.963230000000003</v>
      </c>
      <c r="P33" s="34">
        <v>394.73573000000005</v>
      </c>
    </row>
    <row r="34" spans="2:16" s="3" customFormat="1" ht="18" customHeight="1" thickTop="1" thickBot="1">
      <c r="B34" s="260"/>
      <c r="C34" s="32" t="s">
        <v>40</v>
      </c>
      <c r="D34" s="37">
        <v>0</v>
      </c>
      <c r="E34" s="37">
        <v>0</v>
      </c>
      <c r="F34" s="37">
        <v>2.9999999999999992E-2</v>
      </c>
      <c r="G34" s="37">
        <v>3.0000000000000016E-2</v>
      </c>
      <c r="H34" s="37">
        <v>3.0000000000000037E-2</v>
      </c>
      <c r="I34" s="37">
        <v>3.0000000000000047E-2</v>
      </c>
      <c r="J34" s="37">
        <v>3.0000000000000054E-2</v>
      </c>
      <c r="K34" s="37">
        <v>3.0000000000000027E-2</v>
      </c>
      <c r="L34" s="37">
        <v>3.0000000000000051E-2</v>
      </c>
      <c r="M34" s="37">
        <v>2.9999999999999985E-2</v>
      </c>
      <c r="N34" s="37">
        <v>3.00000000000001E-2</v>
      </c>
      <c r="O34" s="37">
        <v>3.0000000000000079E-2</v>
      </c>
      <c r="P34" s="35">
        <v>2.5844497402486153E-2</v>
      </c>
    </row>
    <row r="35" spans="2:16" s="3" customFormat="1" ht="18" customHeight="1" thickTop="1" thickBot="1">
      <c r="B35" s="260" t="s">
        <v>20</v>
      </c>
      <c r="C35" s="29" t="s">
        <v>13</v>
      </c>
      <c r="D35" s="34">
        <v>1143.452</v>
      </c>
      <c r="E35" s="34">
        <v>1139.8989999999999</v>
      </c>
      <c r="F35" s="34">
        <v>1188.8409999999999</v>
      </c>
      <c r="G35" s="34">
        <v>1106.6469999999999</v>
      </c>
      <c r="H35" s="34">
        <v>1090.9259999999999</v>
      </c>
      <c r="I35" s="34">
        <v>1054.32</v>
      </c>
      <c r="J35" s="34">
        <v>1089.4179999999999</v>
      </c>
      <c r="K35" s="34">
        <v>1140.3019999999999</v>
      </c>
      <c r="L35" s="34">
        <v>1070.2829999999999</v>
      </c>
      <c r="M35" s="34">
        <v>1126.6199999999999</v>
      </c>
      <c r="N35" s="34">
        <v>1046.799</v>
      </c>
      <c r="O35" s="34">
        <v>1053.489</v>
      </c>
      <c r="P35" s="34">
        <v>13250.995999999997</v>
      </c>
    </row>
    <row r="36" spans="2:16" s="3" customFormat="1" ht="18" customHeight="1" thickTop="1" thickBot="1">
      <c r="B36" s="260"/>
      <c r="C36" s="29" t="s">
        <v>14</v>
      </c>
      <c r="D36" s="34">
        <v>500.017</v>
      </c>
      <c r="E36" s="34">
        <v>448.41399999999999</v>
      </c>
      <c r="F36" s="34">
        <v>519.54700000000003</v>
      </c>
      <c r="G36" s="34">
        <v>437.81799999999998</v>
      </c>
      <c r="H36" s="34">
        <v>483.68799999999999</v>
      </c>
      <c r="I36" s="34">
        <v>505.005</v>
      </c>
      <c r="J36" s="34">
        <v>447.613</v>
      </c>
      <c r="K36" s="34">
        <v>490.14600000000002</v>
      </c>
      <c r="L36" s="34">
        <v>503.54899999999998</v>
      </c>
      <c r="M36" s="34">
        <v>488.411</v>
      </c>
      <c r="N36" s="34">
        <v>395.214</v>
      </c>
      <c r="O36" s="34">
        <v>459.52600000000001</v>
      </c>
      <c r="P36" s="34">
        <v>5678.9480000000003</v>
      </c>
    </row>
    <row r="37" spans="2:16" s="3" customFormat="1" ht="18" customHeight="1" thickTop="1" thickBot="1">
      <c r="B37" s="260"/>
      <c r="C37" s="29" t="s">
        <v>8</v>
      </c>
      <c r="D37" s="34">
        <v>1643.4690000000001</v>
      </c>
      <c r="E37" s="34">
        <v>1588.3129999999999</v>
      </c>
      <c r="F37" s="34">
        <v>1708.3879999999999</v>
      </c>
      <c r="G37" s="34">
        <v>1544.4649999999999</v>
      </c>
      <c r="H37" s="34">
        <v>1574.614</v>
      </c>
      <c r="I37" s="34">
        <v>1559.3249999999998</v>
      </c>
      <c r="J37" s="34">
        <v>1537.0309999999999</v>
      </c>
      <c r="K37" s="34">
        <v>1630.4479999999999</v>
      </c>
      <c r="L37" s="34">
        <v>1573.8319999999999</v>
      </c>
      <c r="M37" s="34">
        <v>1615.0309999999999</v>
      </c>
      <c r="N37" s="34">
        <v>1442.0129999999999</v>
      </c>
      <c r="O37" s="34">
        <v>1513.0150000000001</v>
      </c>
      <c r="P37" s="34">
        <v>18929.944</v>
      </c>
    </row>
    <row r="38" spans="2:16" s="3" customFormat="1" ht="18" customHeight="1" thickTop="1" thickBot="1">
      <c r="B38" s="260"/>
      <c r="C38" s="32" t="s">
        <v>40</v>
      </c>
      <c r="D38" s="35">
        <v>5.7176067681128831E-2</v>
      </c>
      <c r="E38" s="35">
        <v>0.11511582843518572</v>
      </c>
      <c r="F38" s="35">
        <v>6.8031536034439261E-2</v>
      </c>
      <c r="G38" s="35">
        <v>8.7206572522087814E-2</v>
      </c>
      <c r="H38" s="35">
        <v>5.3014030253988979E-2</v>
      </c>
      <c r="I38" s="35">
        <v>0.16305045050420675</v>
      </c>
      <c r="J38" s="35">
        <v>-4.3250790220315645E-2</v>
      </c>
      <c r="K38" s="35">
        <v>-1.6865470587029478E-2</v>
      </c>
      <c r="L38" s="35">
        <v>3.2105582424788837E-2</v>
      </c>
      <c r="M38" s="35">
        <v>-7.0232542697180505E-3</v>
      </c>
      <c r="N38" s="35">
        <v>-2.2839327647834022E-3</v>
      </c>
      <c r="O38" s="35">
        <v>-2.1005151804166712E-2</v>
      </c>
      <c r="P38" s="35">
        <v>3.7701114114953395E-2</v>
      </c>
    </row>
    <row r="39" spans="2:16" ht="18" customHeight="1" thickTop="1" thickBot="1">
      <c r="B39" s="260" t="s">
        <v>6</v>
      </c>
      <c r="C39" s="29" t="s">
        <v>13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4">
        <v>0</v>
      </c>
    </row>
    <row r="40" spans="2:16" ht="18" customHeight="1" thickTop="1" thickBot="1">
      <c r="B40" s="260"/>
      <c r="C40" s="29" t="s">
        <v>14</v>
      </c>
      <c r="D40" s="30">
        <v>1.1341021</v>
      </c>
      <c r="E40" s="30">
        <v>3.2092225000000001</v>
      </c>
      <c r="F40" s="30">
        <v>3.3694184000000007</v>
      </c>
      <c r="G40" s="30">
        <v>3.5381015000000002</v>
      </c>
      <c r="H40" s="30">
        <v>3.7152718</v>
      </c>
      <c r="I40" s="30">
        <v>3.9009293000000005</v>
      </c>
      <c r="J40" s="30">
        <v>4.0961349000000009</v>
      </c>
      <c r="K40" s="30">
        <v>4.3008886000000004</v>
      </c>
      <c r="L40" s="30">
        <v>4.5162513000000004</v>
      </c>
      <c r="M40" s="30">
        <v>4.7422230000000001</v>
      </c>
      <c r="N40" s="30">
        <v>4.9798646</v>
      </c>
      <c r="O40" s="30">
        <v>5.229176100000001</v>
      </c>
      <c r="P40" s="34">
        <v>46.731584100000006</v>
      </c>
    </row>
    <row r="41" spans="2:16" ht="18" customHeight="1" thickTop="1" thickBot="1">
      <c r="B41" s="260"/>
      <c r="C41" s="29" t="s">
        <v>8</v>
      </c>
      <c r="D41" s="30">
        <v>1.1341021</v>
      </c>
      <c r="E41" s="30">
        <v>3.2092225000000001</v>
      </c>
      <c r="F41" s="30">
        <v>3.3694184000000007</v>
      </c>
      <c r="G41" s="30">
        <v>3.5381015000000002</v>
      </c>
      <c r="H41" s="30">
        <v>3.7152718</v>
      </c>
      <c r="I41" s="30">
        <v>3.9009293000000005</v>
      </c>
      <c r="J41" s="30">
        <v>4.0961349000000009</v>
      </c>
      <c r="K41" s="30">
        <v>4.3008886000000004</v>
      </c>
      <c r="L41" s="30">
        <v>4.5162513000000004</v>
      </c>
      <c r="M41" s="30">
        <v>4.7422230000000001</v>
      </c>
      <c r="N41" s="30">
        <v>4.9798646</v>
      </c>
      <c r="O41" s="30">
        <v>5.229176100000001</v>
      </c>
      <c r="P41" s="34">
        <v>46.731584100000006</v>
      </c>
    </row>
    <row r="42" spans="2:16" ht="18" customHeight="1" thickTop="1" thickBot="1">
      <c r="B42" s="260"/>
      <c r="C42" s="32" t="s">
        <v>40</v>
      </c>
      <c r="D42" s="37">
        <v>3.0000000000000009E-2</v>
      </c>
      <c r="E42" s="37">
        <v>3.0000000000000096E-2</v>
      </c>
      <c r="F42" s="37">
        <v>3.0000000000000086E-2</v>
      </c>
      <c r="G42" s="37">
        <v>3.0000000000000086E-2</v>
      </c>
      <c r="H42" s="37">
        <v>3.0000000000000086E-2</v>
      </c>
      <c r="I42" s="37">
        <v>3.0000000000000082E-2</v>
      </c>
      <c r="J42" s="37">
        <v>3.0000000000000093E-2</v>
      </c>
      <c r="K42" s="37">
        <v>3.0000000000000013E-2</v>
      </c>
      <c r="L42" s="37">
        <v>3.0000000000000068E-2</v>
      </c>
      <c r="M42" s="37">
        <v>3.0000000000000047E-2</v>
      </c>
      <c r="N42" s="37">
        <v>3.0000000000000065E-2</v>
      </c>
      <c r="O42" s="37">
        <v>3.0000000000000106E-2</v>
      </c>
      <c r="P42" s="35">
        <v>3.0000000000000037E-2</v>
      </c>
    </row>
    <row r="43" spans="2:16" s="3" customFormat="1" ht="18" customHeight="1" thickTop="1" thickBot="1">
      <c r="B43" s="261" t="s">
        <v>21</v>
      </c>
      <c r="C43" s="29" t="s">
        <v>13</v>
      </c>
      <c r="D43" s="34">
        <v>93.4</v>
      </c>
      <c r="E43" s="34">
        <v>84.777000000000001</v>
      </c>
      <c r="F43" s="34">
        <v>96.611999999999995</v>
      </c>
      <c r="G43" s="34">
        <v>89.697000000000003</v>
      </c>
      <c r="H43" s="34">
        <v>90.507000000000005</v>
      </c>
      <c r="I43" s="34">
        <v>87.89</v>
      </c>
      <c r="J43" s="34">
        <v>93.441000000000003</v>
      </c>
      <c r="K43" s="34">
        <v>74.575000000000003</v>
      </c>
      <c r="L43" s="34">
        <v>90.195999999999998</v>
      </c>
      <c r="M43" s="34">
        <v>92.165000000000006</v>
      </c>
      <c r="N43" s="34">
        <v>90.03</v>
      </c>
      <c r="O43" s="34">
        <v>94.856999999999999</v>
      </c>
      <c r="P43" s="34">
        <v>1078.1470000000002</v>
      </c>
    </row>
    <row r="44" spans="2:16" s="3" customFormat="1" ht="18" customHeight="1" thickTop="1" thickBot="1">
      <c r="B44" s="261"/>
      <c r="C44" s="29" t="s">
        <v>14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</row>
    <row r="45" spans="2:16" s="3" customFormat="1" ht="18" customHeight="1" thickTop="1" thickBot="1">
      <c r="B45" s="261"/>
      <c r="C45" s="29" t="s">
        <v>8</v>
      </c>
      <c r="D45" s="34">
        <v>93.4</v>
      </c>
      <c r="E45" s="34">
        <v>84.777000000000001</v>
      </c>
      <c r="F45" s="34">
        <v>96.611999999999995</v>
      </c>
      <c r="G45" s="34">
        <v>89.697000000000003</v>
      </c>
      <c r="H45" s="34">
        <v>90.507000000000005</v>
      </c>
      <c r="I45" s="34">
        <v>87.89</v>
      </c>
      <c r="J45" s="34">
        <v>93.441000000000003</v>
      </c>
      <c r="K45" s="34">
        <v>74.575000000000003</v>
      </c>
      <c r="L45" s="34">
        <v>90.195999999999998</v>
      </c>
      <c r="M45" s="34">
        <v>92.165000000000006</v>
      </c>
      <c r="N45" s="34">
        <v>90.03</v>
      </c>
      <c r="O45" s="34">
        <v>94.856999999999999</v>
      </c>
      <c r="P45" s="34">
        <v>1078.1470000000002</v>
      </c>
    </row>
    <row r="46" spans="2:16" s="3" customFormat="1" ht="18" customHeight="1" thickTop="1" thickBot="1">
      <c r="B46" s="261"/>
      <c r="C46" s="32" t="s">
        <v>40</v>
      </c>
      <c r="D46" s="35">
        <v>7.945680439179427E-2</v>
      </c>
      <c r="E46" s="35">
        <v>3.5317823777248528E-2</v>
      </c>
      <c r="F46" s="35">
        <v>0.14100126368499985</v>
      </c>
      <c r="G46" s="35">
        <v>-1.6846789574062215E-2</v>
      </c>
      <c r="H46" s="35">
        <v>1.737686773658115E-3</v>
      </c>
      <c r="I46" s="35">
        <v>6.5507684555303914E-3</v>
      </c>
      <c r="J46" s="35">
        <v>1.0227579869182095E-2</v>
      </c>
      <c r="K46" s="35">
        <v>-0.19561864287948566</v>
      </c>
      <c r="L46" s="35">
        <v>1.0033594624860032E-2</v>
      </c>
      <c r="M46" s="35">
        <v>4.404318225585379E-2</v>
      </c>
      <c r="N46" s="35">
        <v>6.7204150778830034E-3</v>
      </c>
      <c r="O46" s="35">
        <v>-1.6839091951966131E-3</v>
      </c>
      <c r="P46" s="35">
        <v>8.354735347648105E-3</v>
      </c>
    </row>
    <row r="47" spans="2:16" s="3" customFormat="1" ht="18" customHeight="1" thickTop="1" thickBot="1">
      <c r="B47" s="261" t="s">
        <v>38</v>
      </c>
      <c r="C47" s="29" t="s">
        <v>13</v>
      </c>
      <c r="D47" s="30">
        <v>37.137865399999995</v>
      </c>
      <c r="E47" s="30">
        <v>38.994440400000002</v>
      </c>
      <c r="F47" s="30">
        <v>40.944374600000003</v>
      </c>
      <c r="G47" s="30">
        <v>42.991911600000009</v>
      </c>
      <c r="H47" s="30">
        <v>45.141295</v>
      </c>
      <c r="I47" s="30">
        <v>47.398890199999997</v>
      </c>
      <c r="J47" s="30">
        <v>49.768940800000003</v>
      </c>
      <c r="K47" s="30">
        <v>52.257812200000011</v>
      </c>
      <c r="L47" s="30">
        <v>54.8708089</v>
      </c>
      <c r="M47" s="30">
        <v>57.614296300000007</v>
      </c>
      <c r="N47" s="30">
        <v>60.494639800000002</v>
      </c>
      <c r="O47" s="30">
        <v>63.519265700000005</v>
      </c>
      <c r="P47" s="34">
        <v>591.13454089999993</v>
      </c>
    </row>
    <row r="48" spans="2:16" s="3" customFormat="1" ht="18" customHeight="1" thickTop="1" thickBot="1">
      <c r="B48" s="261"/>
      <c r="C48" s="29" t="s">
        <v>14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4">
        <v>0</v>
      </c>
    </row>
    <row r="49" spans="2:18" s="3" customFormat="1" ht="18" customHeight="1" thickTop="1" thickBot="1">
      <c r="B49" s="261"/>
      <c r="C49" s="29" t="s">
        <v>8</v>
      </c>
      <c r="D49" s="30">
        <v>37.137865399999995</v>
      </c>
      <c r="E49" s="30">
        <v>38.994440400000002</v>
      </c>
      <c r="F49" s="30">
        <v>40.944374600000003</v>
      </c>
      <c r="G49" s="30">
        <v>42.991911600000009</v>
      </c>
      <c r="H49" s="30">
        <v>45.141295</v>
      </c>
      <c r="I49" s="30">
        <v>47.398890199999997</v>
      </c>
      <c r="J49" s="30">
        <v>49.768940800000003</v>
      </c>
      <c r="K49" s="30">
        <v>52.257812200000011</v>
      </c>
      <c r="L49" s="30">
        <v>54.8708089</v>
      </c>
      <c r="M49" s="30">
        <v>57.614296300000007</v>
      </c>
      <c r="N49" s="30">
        <v>60.494639800000002</v>
      </c>
      <c r="O49" s="30">
        <v>63.519265700000005</v>
      </c>
      <c r="P49" s="34">
        <v>591.13454089999993</v>
      </c>
    </row>
    <row r="50" spans="2:18" s="3" customFormat="1" ht="18" customHeight="1" thickTop="1" thickBot="1">
      <c r="B50" s="261"/>
      <c r="C50" s="32" t="s">
        <v>40</v>
      </c>
      <c r="D50" s="37">
        <v>2.999999999999994E-2</v>
      </c>
      <c r="E50" s="37">
        <v>3.0000000000000061E-2</v>
      </c>
      <c r="F50" s="37">
        <v>3.0000000000000027E-2</v>
      </c>
      <c r="G50" s="37">
        <v>3.0000000000000075E-2</v>
      </c>
      <c r="H50" s="37">
        <v>3.0000000000000089E-2</v>
      </c>
      <c r="I50" s="37">
        <v>3.0000000000000044E-2</v>
      </c>
      <c r="J50" s="37">
        <v>2.9999999999999992E-2</v>
      </c>
      <c r="K50" s="37">
        <v>3.0000000000000072E-2</v>
      </c>
      <c r="L50" s="37">
        <v>3.0000000000000013E-2</v>
      </c>
      <c r="M50" s="37">
        <v>3.0000000000000068E-2</v>
      </c>
      <c r="N50" s="37">
        <v>2.9999999999999978E-2</v>
      </c>
      <c r="O50" s="37">
        <v>3.0000000000000082E-2</v>
      </c>
      <c r="P50" s="35">
        <v>2.9999999999999968E-2</v>
      </c>
    </row>
    <row r="51" spans="2:18" s="3" customFormat="1" ht="18" customHeight="1" thickTop="1" thickBot="1">
      <c r="B51" s="260" t="s">
        <v>7</v>
      </c>
      <c r="C51" s="29" t="s">
        <v>13</v>
      </c>
      <c r="D51" s="30">
        <v>0</v>
      </c>
      <c r="E51" s="30">
        <v>6.5920000000000005</v>
      </c>
      <c r="F51" s="30">
        <v>6.9215999999999998</v>
      </c>
      <c r="G51" s="30">
        <v>7.2676800000000004</v>
      </c>
      <c r="H51" s="30">
        <v>7.6312699999999998</v>
      </c>
      <c r="I51" s="30">
        <v>8.0123700000000007</v>
      </c>
      <c r="J51" s="30">
        <v>8.4130399999999987</v>
      </c>
      <c r="K51" s="30">
        <v>8.8332800000000002</v>
      </c>
      <c r="L51" s="30">
        <v>9.2751500000000018</v>
      </c>
      <c r="M51" s="30">
        <v>9.7386499999999998</v>
      </c>
      <c r="N51" s="30">
        <v>10.225840000000002</v>
      </c>
      <c r="O51" s="30">
        <v>10.73672</v>
      </c>
      <c r="P51" s="34">
        <v>93.647600000000011</v>
      </c>
    </row>
    <row r="52" spans="2:18" s="3" customFormat="1" ht="18" customHeight="1" thickTop="1" thickBot="1">
      <c r="B52" s="260"/>
      <c r="C52" s="29" t="s">
        <v>14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4">
        <v>0</v>
      </c>
    </row>
    <row r="53" spans="2:18" s="3" customFormat="1" ht="18" customHeight="1" thickTop="1" thickBot="1">
      <c r="B53" s="260"/>
      <c r="C53" s="29" t="s">
        <v>8</v>
      </c>
      <c r="D53" s="30">
        <v>0</v>
      </c>
      <c r="E53" s="30">
        <v>6.5920000000000005</v>
      </c>
      <c r="F53" s="30">
        <v>6.9215999999999998</v>
      </c>
      <c r="G53" s="30">
        <v>7.2676800000000004</v>
      </c>
      <c r="H53" s="30">
        <v>7.6312699999999998</v>
      </c>
      <c r="I53" s="30">
        <v>8.0123700000000007</v>
      </c>
      <c r="J53" s="30">
        <v>8.4130399999999987</v>
      </c>
      <c r="K53" s="30">
        <v>8.8332800000000002</v>
      </c>
      <c r="L53" s="30">
        <v>9.2751500000000018</v>
      </c>
      <c r="M53" s="30">
        <v>9.7386499999999998</v>
      </c>
      <c r="N53" s="30">
        <v>10.225840000000002</v>
      </c>
      <c r="O53" s="30">
        <v>10.73672</v>
      </c>
      <c r="P53" s="34">
        <v>93.647600000000011</v>
      </c>
    </row>
    <row r="54" spans="2:18" s="3" customFormat="1" ht="18" customHeight="1" thickTop="1" thickBot="1">
      <c r="B54" s="260"/>
      <c r="C54" s="32" t="s">
        <v>40</v>
      </c>
      <c r="D54" s="37">
        <v>0</v>
      </c>
      <c r="E54" s="37">
        <v>3.0000000000000027E-2</v>
      </c>
      <c r="F54" s="37">
        <v>3.0000000000000002E-2</v>
      </c>
      <c r="G54" s="37">
        <v>3.0000000000000044E-2</v>
      </c>
      <c r="H54" s="37">
        <v>2.9999999999999995E-2</v>
      </c>
      <c r="I54" s="37">
        <v>3.0000000000000096E-2</v>
      </c>
      <c r="J54" s="37">
        <v>2.999999999999994E-2</v>
      </c>
      <c r="K54" s="37">
        <v>2.9999999999999968E-2</v>
      </c>
      <c r="L54" s="37">
        <v>3.000000000000011E-2</v>
      </c>
      <c r="M54" s="37">
        <v>2.9999999999999971E-2</v>
      </c>
      <c r="N54" s="37">
        <v>3.0000000000000075E-2</v>
      </c>
      <c r="O54" s="37">
        <v>3.0000000000000054E-2</v>
      </c>
      <c r="P54" s="35">
        <v>2.9999999999999943E-2</v>
      </c>
    </row>
    <row r="55" spans="2:18" s="3" customFormat="1" ht="18" customHeight="1" thickTop="1" thickBot="1">
      <c r="B55" s="260" t="s">
        <v>3</v>
      </c>
      <c r="C55" s="29" t="s">
        <v>13</v>
      </c>
      <c r="D55" s="34">
        <v>159.33199999999999</v>
      </c>
      <c r="E55" s="34">
        <v>121.53400000000001</v>
      </c>
      <c r="F55" s="34">
        <v>108.687</v>
      </c>
      <c r="G55" s="34">
        <v>152.63300000000001</v>
      </c>
      <c r="H55" s="34">
        <v>99.855000000000004</v>
      </c>
      <c r="I55" s="34">
        <v>86.221000000000004</v>
      </c>
      <c r="J55" s="34">
        <v>104.461</v>
      </c>
      <c r="K55" s="34">
        <v>97.382000000000005</v>
      </c>
      <c r="L55" s="34">
        <v>103.33199999999999</v>
      </c>
      <c r="M55" s="34">
        <v>161.33799999999999</v>
      </c>
      <c r="N55" s="34">
        <v>141.566</v>
      </c>
      <c r="O55" s="34">
        <v>148.41</v>
      </c>
      <c r="P55" s="34">
        <v>1484.751</v>
      </c>
    </row>
    <row r="56" spans="2:18" s="3" customFormat="1" ht="18" customHeight="1" thickTop="1" thickBot="1">
      <c r="B56" s="260"/>
      <c r="C56" s="29" t="s">
        <v>14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</row>
    <row r="57" spans="2:18" s="3" customFormat="1" ht="18" customHeight="1" thickTop="1" thickBot="1">
      <c r="B57" s="260"/>
      <c r="C57" s="29" t="s">
        <v>8</v>
      </c>
      <c r="D57" s="34">
        <v>159.33199999999999</v>
      </c>
      <c r="E57" s="34">
        <v>121.53400000000001</v>
      </c>
      <c r="F57" s="34">
        <v>108.687</v>
      </c>
      <c r="G57" s="34">
        <v>152.63300000000001</v>
      </c>
      <c r="H57" s="34">
        <v>99.855000000000004</v>
      </c>
      <c r="I57" s="34">
        <v>86.221000000000004</v>
      </c>
      <c r="J57" s="34">
        <v>104.461</v>
      </c>
      <c r="K57" s="34">
        <v>97.382000000000005</v>
      </c>
      <c r="L57" s="34">
        <v>103.33199999999999</v>
      </c>
      <c r="M57" s="34">
        <v>161.33799999999999</v>
      </c>
      <c r="N57" s="34">
        <v>141.566</v>
      </c>
      <c r="O57" s="34">
        <v>148.41</v>
      </c>
      <c r="P57" s="34">
        <v>1484.751</v>
      </c>
    </row>
    <row r="58" spans="2:18" s="3" customFormat="1" ht="18" customHeight="1" thickTop="1" thickBot="1">
      <c r="B58" s="260"/>
      <c r="C58" s="32" t="s">
        <v>40</v>
      </c>
      <c r="D58" s="35">
        <v>-8.7571009712296144E-2</v>
      </c>
      <c r="E58" s="35">
        <v>-0.47593873432568085</v>
      </c>
      <c r="F58" s="35">
        <v>-0.47685769019724877</v>
      </c>
      <c r="G58" s="35">
        <v>-0.17515293659886297</v>
      </c>
      <c r="H58" s="35">
        <v>-0.59429151853732853</v>
      </c>
      <c r="I58" s="35">
        <v>-0.5967910137160547</v>
      </c>
      <c r="J58" s="35">
        <v>-0.48341872057601776</v>
      </c>
      <c r="K58" s="35">
        <v>-0.54569543838696732</v>
      </c>
      <c r="L58" s="35">
        <v>-0.21425312528515386</v>
      </c>
      <c r="M58" s="35">
        <v>9.3505578072684337E-2</v>
      </c>
      <c r="N58" s="35">
        <v>0.46271555955074756</v>
      </c>
      <c r="O58" s="35">
        <v>0.69737519300051454</v>
      </c>
      <c r="P58" s="35">
        <v>-0.30591024218211654</v>
      </c>
    </row>
    <row r="59" spans="2:18" s="3" customFormat="1" ht="18" customHeight="1" thickTop="1">
      <c r="B59" s="262" t="s">
        <v>39</v>
      </c>
      <c r="C59" s="29" t="s">
        <v>13</v>
      </c>
      <c r="D59" s="171">
        <f>+D3+D7+D11+D15+D19+D23+D27+D31+D35+D39+D43+D47+D51+D55</f>
        <v>2428.6219653999997</v>
      </c>
      <c r="E59" s="171">
        <f t="shared" ref="E59:O61" si="1">+E3+E7+E11+E15+E19+E23+E27+E31+E35+E39+E43+E47+E51+E55</f>
        <v>2436.5055404</v>
      </c>
      <c r="F59" s="171">
        <f t="shared" si="1"/>
        <v>2619.8996446000001</v>
      </c>
      <c r="G59" s="171">
        <f t="shared" si="1"/>
        <v>2536.8809315999997</v>
      </c>
      <c r="H59" s="171">
        <f t="shared" si="1"/>
        <v>2462.5721949999997</v>
      </c>
      <c r="I59" s="171">
        <f t="shared" si="1"/>
        <v>2246.1469302</v>
      </c>
      <c r="J59" s="171">
        <f t="shared" si="1"/>
        <v>2417.6254907999996</v>
      </c>
      <c r="K59" s="171">
        <f t="shared" si="1"/>
        <v>2387.2725121999997</v>
      </c>
      <c r="L59" s="171">
        <f t="shared" si="1"/>
        <v>2365.6310888999997</v>
      </c>
      <c r="M59" s="171">
        <f t="shared" si="1"/>
        <v>2565.6299063000001</v>
      </c>
      <c r="N59" s="171">
        <f t="shared" si="1"/>
        <v>2389.5989698000003</v>
      </c>
      <c r="O59" s="171">
        <f t="shared" si="1"/>
        <v>2057.4297857000001</v>
      </c>
      <c r="P59" s="171">
        <f>SUM(D59:O59)</f>
        <v>28913.814960900003</v>
      </c>
    </row>
    <row r="60" spans="2:18" s="3" customFormat="1" ht="18" customHeight="1">
      <c r="B60" s="263"/>
      <c r="C60" s="29" t="s">
        <v>14</v>
      </c>
      <c r="D60" s="171">
        <f>+D4+D8+D12+D16+D20+D24+D28+D32+D36+D40+D44+D48+D52+D56</f>
        <v>2850.9757520999997</v>
      </c>
      <c r="E60" s="171">
        <f t="shared" si="1"/>
        <v>2600.7389225000002</v>
      </c>
      <c r="F60" s="171">
        <f t="shared" si="1"/>
        <v>3025.3984184000001</v>
      </c>
      <c r="G60" s="171">
        <f t="shared" si="1"/>
        <v>2785.0455514999999</v>
      </c>
      <c r="H60" s="171">
        <f t="shared" si="1"/>
        <v>2911.9670218000006</v>
      </c>
      <c r="I60" s="171">
        <f t="shared" si="1"/>
        <v>2948.5839292999999</v>
      </c>
      <c r="J60" s="171">
        <f t="shared" si="1"/>
        <v>3029.4936849000001</v>
      </c>
      <c r="K60" s="171">
        <f t="shared" si="1"/>
        <v>3127.1616886000002</v>
      </c>
      <c r="L60" s="171">
        <f t="shared" si="1"/>
        <v>3035.0468513000001</v>
      </c>
      <c r="M60" s="171">
        <f t="shared" si="1"/>
        <v>3128.7903230000002</v>
      </c>
      <c r="N60" s="171">
        <f t="shared" si="1"/>
        <v>2703.3119646</v>
      </c>
      <c r="O60" s="171">
        <f t="shared" si="1"/>
        <v>3067.9994260999997</v>
      </c>
      <c r="P60" s="171">
        <f>SUM(D60:O60)</f>
        <v>35214.513534100006</v>
      </c>
    </row>
    <row r="61" spans="2:18" s="3" customFormat="1" ht="18" customHeight="1">
      <c r="B61" s="263"/>
      <c r="C61" s="29" t="s">
        <v>8</v>
      </c>
      <c r="D61" s="171">
        <f>+D5+D9+D13+D17+D21+D25+D29+D33+D37+D41+D45+D49+D53+D57</f>
        <v>5365.4777175000008</v>
      </c>
      <c r="E61" s="171">
        <f t="shared" si="1"/>
        <v>5104.1264628999988</v>
      </c>
      <c r="F61" s="171">
        <f t="shared" si="1"/>
        <v>5762.252062999999</v>
      </c>
      <c r="G61" s="171">
        <f t="shared" si="1"/>
        <v>5432.2734830999998</v>
      </c>
      <c r="H61" s="171">
        <f t="shared" si="1"/>
        <v>5386.1712168000004</v>
      </c>
      <c r="I61" s="171">
        <f t="shared" si="1"/>
        <v>5298.0998595000001</v>
      </c>
      <c r="J61" s="171">
        <f t="shared" si="1"/>
        <v>5561.8601757000006</v>
      </c>
      <c r="K61" s="171">
        <f t="shared" si="1"/>
        <v>5607.5402007999992</v>
      </c>
      <c r="L61" s="171">
        <f t="shared" si="1"/>
        <v>5508.0719401999995</v>
      </c>
      <c r="M61" s="171">
        <f t="shared" si="1"/>
        <v>5801.2522293000002</v>
      </c>
      <c r="N61" s="171">
        <f t="shared" si="1"/>
        <v>5195.1499343999985</v>
      </c>
      <c r="O61" s="171">
        <f t="shared" si="1"/>
        <v>5224.2292117999987</v>
      </c>
      <c r="P61" s="171">
        <f>SUM(D61:O61)</f>
        <v>65246.504494999994</v>
      </c>
    </row>
    <row r="62" spans="2:18" s="3" customFormat="1" ht="18" customHeight="1" thickBot="1">
      <c r="B62" s="264"/>
      <c r="C62" s="32" t="s">
        <v>40</v>
      </c>
      <c r="D62" s="35">
        <v>1.7677363414941735E-2</v>
      </c>
      <c r="E62" s="35">
        <v>2.3585443787391865E-2</v>
      </c>
      <c r="F62" s="35">
        <v>3.768477301250326E-2</v>
      </c>
      <c r="G62" s="35">
        <v>6.1358266357033151E-3</v>
      </c>
      <c r="H62" s="35">
        <v>-3.0157383989299871E-2</v>
      </c>
      <c r="I62" s="35">
        <v>-3.2463384017809751E-4</v>
      </c>
      <c r="J62" s="35">
        <v>-2.329953482566555E-2</v>
      </c>
      <c r="K62" s="35">
        <v>-3.9357236344361883E-2</v>
      </c>
      <c r="L62" s="35">
        <v>-1.5049138987827908E-2</v>
      </c>
      <c r="M62" s="35">
        <v>1.1653591133277529E-2</v>
      </c>
      <c r="N62" s="35">
        <v>-4.0700581372901988E-3</v>
      </c>
      <c r="O62" s="35">
        <v>1.4359775421322362E-3</v>
      </c>
      <c r="P62" s="35">
        <v>-1.7142418229579683E-3</v>
      </c>
      <c r="R62" s="49"/>
    </row>
    <row r="63" spans="2:18" ht="13.5" thickTop="1">
      <c r="B63" s="28"/>
    </row>
    <row r="64" spans="2:18">
      <c r="B64" s="25" t="s">
        <v>19</v>
      </c>
      <c r="C64" s="25" t="s">
        <v>19</v>
      </c>
    </row>
    <row r="65" spans="2:10" s="2" customFormat="1">
      <c r="B65" s="26" t="s">
        <v>12</v>
      </c>
      <c r="C65" s="26" t="s">
        <v>12</v>
      </c>
    </row>
    <row r="66" spans="2:10" s="2" customFormat="1">
      <c r="J66" s="7"/>
    </row>
    <row r="68" spans="2:10">
      <c r="B68" s="36" t="s">
        <v>160</v>
      </c>
    </row>
  </sheetData>
  <mergeCells count="15">
    <mergeCell ref="B23:B26"/>
    <mergeCell ref="B3:B6"/>
    <mergeCell ref="B7:B10"/>
    <mergeCell ref="B11:B14"/>
    <mergeCell ref="B15:B18"/>
    <mergeCell ref="B19:B22"/>
    <mergeCell ref="B51:B54"/>
    <mergeCell ref="B55:B58"/>
    <mergeCell ref="B59:B62"/>
    <mergeCell ref="B27:B30"/>
    <mergeCell ref="B31:B34"/>
    <mergeCell ref="B35:B38"/>
    <mergeCell ref="B39:B42"/>
    <mergeCell ref="B43:B46"/>
    <mergeCell ref="B47:B50"/>
  </mergeCells>
  <hyperlinks>
    <hyperlink ref="P1" location="Índice!A1" display="Índice" xr:uid="{00000000-0004-0000-0900-000000000000}"/>
  </hyperlinks>
  <pageMargins left="0.7" right="0.7" top="0.75" bottom="0.75" header="0.3" footer="0.3"/>
  <pageSetup paperSize="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2"/>
  <sheetViews>
    <sheetView topLeftCell="A10" zoomScale="70" zoomScaleNormal="70" zoomScaleSheetLayoutView="90" workbookViewId="0">
      <selection activeCell="O19" sqref="O19:O22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36" customWidth="1"/>
    <col min="17" max="17" width="2.7109375" style="2" customWidth="1"/>
    <col min="18" max="16384" width="11.42578125" style="2"/>
  </cols>
  <sheetData>
    <row r="1" spans="1:18" s="8" customFormat="1" ht="38.25" customHeight="1" thickBot="1">
      <c r="A1" s="38" t="s">
        <v>41</v>
      </c>
      <c r="B1" s="22" t="s">
        <v>186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87" t="s">
        <v>111</v>
      </c>
    </row>
    <row r="2" spans="1:18" ht="30" customHeight="1" thickTop="1">
      <c r="B2" s="33" t="s">
        <v>36</v>
      </c>
      <c r="C2" s="21" t="s">
        <v>23</v>
      </c>
      <c r="D2" s="158" t="s">
        <v>27</v>
      </c>
      <c r="E2" s="158" t="s">
        <v>28</v>
      </c>
      <c r="F2" s="158" t="s">
        <v>26</v>
      </c>
      <c r="G2" s="158" t="s">
        <v>22</v>
      </c>
      <c r="H2" s="158" t="s">
        <v>29</v>
      </c>
      <c r="I2" s="158" t="s">
        <v>30</v>
      </c>
      <c r="J2" s="158" t="s">
        <v>31</v>
      </c>
      <c r="K2" s="158" t="s">
        <v>32</v>
      </c>
      <c r="L2" s="158" t="s">
        <v>33</v>
      </c>
      <c r="M2" s="158" t="s">
        <v>24</v>
      </c>
      <c r="N2" s="158" t="s">
        <v>34</v>
      </c>
      <c r="O2" s="158" t="s">
        <v>35</v>
      </c>
      <c r="P2" s="158" t="s">
        <v>25</v>
      </c>
    </row>
    <row r="3" spans="1:18" ht="18" customHeight="1" thickBot="1">
      <c r="B3" s="259" t="s">
        <v>0</v>
      </c>
      <c r="C3" s="29" t="s">
        <v>15</v>
      </c>
      <c r="D3" s="171">
        <v>187.56299999999999</v>
      </c>
      <c r="E3" s="171">
        <v>179.89400000000001</v>
      </c>
      <c r="F3" s="171">
        <v>190.43700000000001</v>
      </c>
      <c r="G3" s="171">
        <v>182.643</v>
      </c>
      <c r="H3" s="171">
        <v>161.744</v>
      </c>
      <c r="I3" s="171">
        <v>167.48599999999999</v>
      </c>
      <c r="J3" s="171">
        <v>194.08600000000001</v>
      </c>
      <c r="K3" s="171">
        <v>179.554</v>
      </c>
      <c r="L3" s="171">
        <v>187.08799999999999</v>
      </c>
      <c r="M3" s="34">
        <v>172.78800000000001</v>
      </c>
      <c r="N3" s="34">
        <v>188.899</v>
      </c>
      <c r="O3" s="34">
        <v>191.65799999999999</v>
      </c>
      <c r="P3" s="34">
        <f>SUM(D3:O3)</f>
        <v>2183.84</v>
      </c>
    </row>
    <row r="4" spans="1:18" ht="18" customHeight="1" thickTop="1" thickBot="1">
      <c r="B4" s="260"/>
      <c r="C4" s="29" t="s">
        <v>16</v>
      </c>
      <c r="D4" s="171">
        <v>140.535</v>
      </c>
      <c r="E4" s="171">
        <v>149.79599999999999</v>
      </c>
      <c r="F4" s="171">
        <v>179.589</v>
      </c>
      <c r="G4" s="171">
        <v>165.99700000000001</v>
      </c>
      <c r="H4" s="171">
        <v>144.82900000000001</v>
      </c>
      <c r="I4" s="171">
        <v>105.357</v>
      </c>
      <c r="J4" s="171">
        <v>54.331000000000003</v>
      </c>
      <c r="K4" s="171">
        <v>77.460999999999999</v>
      </c>
      <c r="L4" s="171">
        <v>137.02799999999999</v>
      </c>
      <c r="M4" s="34">
        <v>161.54499999999999</v>
      </c>
      <c r="N4" s="34">
        <v>152.59800000000001</v>
      </c>
      <c r="O4" s="34">
        <v>137.32900000000001</v>
      </c>
      <c r="P4" s="34">
        <f>SUM(D4:O4)</f>
        <v>1606.395</v>
      </c>
    </row>
    <row r="5" spans="1:18" ht="18" customHeight="1" thickTop="1" thickBot="1">
      <c r="B5" s="260"/>
      <c r="C5" s="29" t="s">
        <v>8</v>
      </c>
      <c r="D5" s="34">
        <f>+D3+D4</f>
        <v>328.09799999999996</v>
      </c>
      <c r="E5" s="34">
        <f>+E3+E4</f>
        <v>329.69</v>
      </c>
      <c r="F5" s="34">
        <f t="shared" ref="F5:O5" si="0">+F3+F4</f>
        <v>370.02600000000001</v>
      </c>
      <c r="G5" s="34">
        <f>+G3+G4</f>
        <v>348.64</v>
      </c>
      <c r="H5" s="34">
        <f t="shared" si="0"/>
        <v>306.57299999999998</v>
      </c>
      <c r="I5" s="34">
        <f t="shared" si="0"/>
        <v>272.84299999999996</v>
      </c>
      <c r="J5" s="147">
        <f t="shared" si="0"/>
        <v>248.41700000000003</v>
      </c>
      <c r="K5" s="34">
        <f t="shared" si="0"/>
        <v>257.01499999999999</v>
      </c>
      <c r="L5" s="34">
        <f t="shared" si="0"/>
        <v>324.11599999999999</v>
      </c>
      <c r="M5" s="34">
        <f t="shared" si="0"/>
        <v>334.33299999999997</v>
      </c>
      <c r="N5" s="34">
        <f t="shared" si="0"/>
        <v>341.49700000000001</v>
      </c>
      <c r="O5" s="34">
        <f t="shared" si="0"/>
        <v>328.98699999999997</v>
      </c>
      <c r="P5" s="34">
        <f>+P3+P4</f>
        <v>3790.2350000000001</v>
      </c>
    </row>
    <row r="6" spans="1:18" ht="18" customHeight="1" thickTop="1" thickBot="1">
      <c r="B6" s="260"/>
      <c r="C6" s="32" t="s">
        <v>179</v>
      </c>
      <c r="D6" s="35">
        <f>+(D5-'Hierro Primario 2017'!D5)/'Hierro Primario 2017'!D5</f>
        <v>0.32515590164464109</v>
      </c>
      <c r="E6" s="35">
        <f>+(E5-'Hierro Primario 2017'!E5)/'Hierro Primario 2017'!E5</f>
        <v>0.49906788523621148</v>
      </c>
      <c r="F6" s="35">
        <f>+(F5-'Hierro Primario 2017'!F5)/'Hierro Primario 2017'!F5</f>
        <v>6.2438268060181573E-2</v>
      </c>
      <c r="G6" s="35">
        <f>+(G5-'Hierro Primario 2017'!G5)/'Hierro Primario 2017'!G5</f>
        <v>3.2462878837235441E-2</v>
      </c>
      <c r="H6" s="35">
        <f>+(H5-'Hierro Primario 2017'!H5)/'Hierro Primario 2017'!H5</f>
        <v>-5.512560909082511E-2</v>
      </c>
      <c r="I6" s="35">
        <f>+(I5-'Hierro Primario 2017'!I5)/'Hierro Primario 2017'!I5</f>
        <v>3.7552097593623338E-2</v>
      </c>
      <c r="J6" s="148">
        <f>+(J5-'Hierro Primario 2017'!J5)/'Hierro Primario 2017'!J5</f>
        <v>0.31248679149583691</v>
      </c>
      <c r="K6" s="35">
        <f>+(K5-'Hierro Primario 2017'!K5)/'Hierro Primario 2017'!K5</f>
        <v>0.35909828827066154</v>
      </c>
      <c r="L6" s="35">
        <f>+(L5-'Hierro Primario 2017'!L5)/'Hierro Primario 2017'!L5</f>
        <v>0.17727224847536038</v>
      </c>
      <c r="M6" s="35">
        <f>+(M5-'Hierro Primario 2017'!M5)/'Hierro Primario 2017'!M5</f>
        <v>-3.654041779414622E-2</v>
      </c>
      <c r="N6" s="35">
        <f>+(N5-'Hierro Primario 2017'!N5)/'Hierro Primario 2017'!N5</f>
        <v>4.3624817402253012E-2</v>
      </c>
      <c r="O6" s="35">
        <f>+(O5-'Hierro Primario 2017'!O5)/'Hierro Primario 2017'!O5</f>
        <v>-1.2963985262880059E-2</v>
      </c>
      <c r="P6" s="139">
        <f ca="1">(P5-SUM('Hierro Primario 2017'!$D5:OFFSET('Hierro Primario 2017'!$D5,0,Índice!$Y$4)))/SUM('Hierro Primario 2017'!$D5:OFFSET('Hierro Primario 2017'!$D5,0,Índice!$Y$4))</f>
        <v>0.11407378885054693</v>
      </c>
    </row>
    <row r="7" spans="1:18" ht="18" customHeight="1" thickTop="1" thickBot="1">
      <c r="B7" s="260" t="s">
        <v>42</v>
      </c>
      <c r="C7" s="29" t="s">
        <v>15</v>
      </c>
      <c r="D7" s="171">
        <v>2339</v>
      </c>
      <c r="E7" s="171">
        <v>2149</v>
      </c>
      <c r="F7" s="171">
        <v>2426</v>
      </c>
      <c r="G7" s="34">
        <v>2342</v>
      </c>
      <c r="H7" s="34">
        <v>2226</v>
      </c>
      <c r="I7" s="171">
        <v>2361</v>
      </c>
      <c r="J7" s="147">
        <v>2456</v>
      </c>
      <c r="K7" s="34">
        <v>2329</v>
      </c>
      <c r="L7" s="34">
        <v>2512</v>
      </c>
      <c r="M7" s="34">
        <v>2533</v>
      </c>
      <c r="N7" s="34">
        <v>2315</v>
      </c>
      <c r="O7" s="34">
        <v>2425</v>
      </c>
      <c r="P7" s="34">
        <f>SUM(D7:O7)</f>
        <v>28413</v>
      </c>
    </row>
    <row r="8" spans="1:18" ht="18" customHeight="1" thickTop="1" thickBot="1">
      <c r="B8" s="260"/>
      <c r="C8" s="29" t="s">
        <v>16</v>
      </c>
      <c r="D8" s="170"/>
      <c r="E8" s="34"/>
      <c r="F8" s="170"/>
      <c r="G8" s="34"/>
      <c r="H8" s="34"/>
      <c r="I8" s="34"/>
      <c r="J8" s="147"/>
      <c r="K8" s="34"/>
      <c r="L8" s="34"/>
      <c r="M8" s="34"/>
      <c r="N8" s="34"/>
      <c r="O8" s="34"/>
      <c r="P8" s="34">
        <f>SUM(D8:E8)</f>
        <v>0</v>
      </c>
    </row>
    <row r="9" spans="1:18" ht="18" customHeight="1" thickTop="1" thickBot="1">
      <c r="B9" s="260"/>
      <c r="C9" s="29" t="s">
        <v>8</v>
      </c>
      <c r="D9" s="171">
        <f>+D7+D8</f>
        <v>2339</v>
      </c>
      <c r="E9" s="171">
        <f>+E7+E8</f>
        <v>2149</v>
      </c>
      <c r="F9" s="171">
        <f t="shared" ref="F9:O9" si="1">+F7+F8</f>
        <v>2426</v>
      </c>
      <c r="G9" s="34">
        <f t="shared" si="1"/>
        <v>2342</v>
      </c>
      <c r="H9" s="34">
        <f t="shared" si="1"/>
        <v>2226</v>
      </c>
      <c r="I9" s="34">
        <f t="shared" si="1"/>
        <v>2361</v>
      </c>
      <c r="J9" s="147">
        <f t="shared" si="1"/>
        <v>2456</v>
      </c>
      <c r="K9" s="34">
        <f t="shared" si="1"/>
        <v>2329</v>
      </c>
      <c r="L9" s="34">
        <f t="shared" si="1"/>
        <v>2512</v>
      </c>
      <c r="M9" s="34">
        <f t="shared" si="1"/>
        <v>2533</v>
      </c>
      <c r="N9" s="34">
        <f t="shared" si="1"/>
        <v>2315</v>
      </c>
      <c r="O9" s="34">
        <f t="shared" si="1"/>
        <v>2425</v>
      </c>
      <c r="P9" s="34">
        <f>+P7+P8</f>
        <v>28413</v>
      </c>
      <c r="R9" s="14">
        <f>+P9/P37</f>
        <v>0.6464794418547738</v>
      </c>
    </row>
    <row r="10" spans="1:18" ht="18" customHeight="1" thickTop="1" thickBot="1">
      <c r="B10" s="260"/>
      <c r="C10" s="32" t="s">
        <v>179</v>
      </c>
      <c r="D10" s="35">
        <f>+(D9-'Hierro Primario 2017'!D9)/'Hierro Primario 2017'!D9</f>
        <v>2.3184601924759404E-2</v>
      </c>
      <c r="E10" s="35">
        <f>+(E9-'Hierro Primario 2017'!E9)/'Hierro Primario 2017'!E9</f>
        <v>3.9168278529980657E-2</v>
      </c>
      <c r="F10" s="35">
        <f>+(F9-'Hierro Primario 2017'!F9)/'Hierro Primario 2017'!F9</f>
        <v>2.7966101694915254E-2</v>
      </c>
      <c r="G10" s="35">
        <f>+(G9-'Hierro Primario 2017'!G9)/'Hierro Primario 2017'!G9</f>
        <v>-2.7408637873754152E-2</v>
      </c>
      <c r="H10" s="35">
        <f>+(H9-'Hierro Primario 2017'!H9)/'Hierro Primario 2017'!H9</f>
        <v>-0.10530546623794212</v>
      </c>
      <c r="I10" s="35">
        <f>+(I9-'Hierro Primario 2017'!I9)/'Hierro Primario 2017'!I9</f>
        <v>3.7802197802197804E-2</v>
      </c>
      <c r="J10" s="148">
        <f>+(J9-'Hierro Primario 2017'!J9)/'Hierro Primario 2017'!J9</f>
        <v>5.1369863013698627E-2</v>
      </c>
      <c r="K10" s="35">
        <f>+(K9-'Hierro Primario 2017'!K9)/'Hierro Primario 2017'!K9</f>
        <v>-4.7054009819967269E-2</v>
      </c>
      <c r="L10" s="35">
        <f>+(L9-'Hierro Primario 2017'!L9)/'Hierro Primario 2017'!L9</f>
        <v>3.7159372419488024E-2</v>
      </c>
      <c r="M10" s="35">
        <f>+(M9-'Hierro Primario 2017'!M9)/'Hierro Primario 2017'!M9</f>
        <v>1.8086816720257234E-2</v>
      </c>
      <c r="N10" s="35">
        <f>+(N9-'Hierro Primario 2017'!N9)/'Hierro Primario 2017'!N9</f>
        <v>-5.1229508196721313E-2</v>
      </c>
      <c r="O10" s="35">
        <f>+(O9-'Hierro Primario 2017'!O9)/'Hierro Primario 2017'!O9</f>
        <v>5.8067192036499382E-3</v>
      </c>
      <c r="P10" s="139">
        <f ca="1">(P9-SUM('Hierro Primario 2017'!$D9:OFFSET('Hierro Primario 2017'!$D9,0,Índice!$Y$4)))/SUM('Hierro Primario 2017'!$D9:OFFSET('Hierro Primario 2017'!$D9,0,Índice!$Y$4))</f>
        <v>-4.5732779849433618E-4</v>
      </c>
    </row>
    <row r="11" spans="1:18" ht="18" customHeight="1" thickTop="1" thickBot="1">
      <c r="B11" s="260" t="s">
        <v>1</v>
      </c>
      <c r="C11" s="29" t="s">
        <v>15</v>
      </c>
      <c r="D11" s="171">
        <v>56.920999999999992</v>
      </c>
      <c r="E11" s="171">
        <v>55.213000000000008</v>
      </c>
      <c r="F11" s="171">
        <v>55.733999999999973</v>
      </c>
      <c r="G11" s="171">
        <v>56.73919999999999</v>
      </c>
      <c r="H11" s="171">
        <v>56.811999999999976</v>
      </c>
      <c r="I11" s="171">
        <v>45.053999999999974</v>
      </c>
      <c r="J11" s="171">
        <v>55.57060000000002</v>
      </c>
      <c r="K11" s="171">
        <v>57.714699999999972</v>
      </c>
      <c r="L11" s="171">
        <v>62.214999999999989</v>
      </c>
      <c r="M11" s="171">
        <v>59.529999999999994</v>
      </c>
      <c r="N11" s="34">
        <v>49.698999999999998</v>
      </c>
      <c r="O11" s="34">
        <v>49.494999999999997</v>
      </c>
      <c r="P11" s="34">
        <f>SUM(D11:O11)</f>
        <v>660.69749999999988</v>
      </c>
    </row>
    <row r="12" spans="1:18" ht="18" customHeight="1" thickTop="1" thickBot="1">
      <c r="B12" s="260"/>
      <c r="C12" s="29" t="s">
        <v>16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>
        <f>SUM(D12:O12)</f>
        <v>0</v>
      </c>
    </row>
    <row r="13" spans="1:18" ht="18" customHeight="1" thickTop="1" thickBot="1">
      <c r="B13" s="260"/>
      <c r="C13" s="29" t="s">
        <v>8</v>
      </c>
      <c r="D13" s="34">
        <f>+D11+D12</f>
        <v>56.920999999999992</v>
      </c>
      <c r="E13" s="34">
        <f>+E11+E12</f>
        <v>55.213000000000008</v>
      </c>
      <c r="F13" s="34">
        <f t="shared" ref="F13:O13" si="2">+F11+F12</f>
        <v>55.733999999999973</v>
      </c>
      <c r="G13" s="34">
        <f t="shared" si="2"/>
        <v>56.73919999999999</v>
      </c>
      <c r="H13" s="34">
        <f t="shared" si="2"/>
        <v>56.811999999999976</v>
      </c>
      <c r="I13" s="34">
        <f t="shared" si="2"/>
        <v>45.053999999999974</v>
      </c>
      <c r="J13" s="34">
        <f t="shared" si="2"/>
        <v>55.57060000000002</v>
      </c>
      <c r="K13" s="34">
        <f t="shared" si="2"/>
        <v>57.714699999999972</v>
      </c>
      <c r="L13" s="34">
        <f t="shared" si="2"/>
        <v>62.214999999999989</v>
      </c>
      <c r="M13" s="34">
        <f t="shared" si="2"/>
        <v>59.529999999999994</v>
      </c>
      <c r="N13" s="34">
        <f t="shared" si="2"/>
        <v>49.698999999999998</v>
      </c>
      <c r="O13" s="34">
        <f t="shared" si="2"/>
        <v>49.494999999999997</v>
      </c>
      <c r="P13" s="34">
        <f>+P11+P12</f>
        <v>660.69749999999988</v>
      </c>
    </row>
    <row r="14" spans="1:18" ht="18" customHeight="1" thickTop="1" thickBot="1">
      <c r="B14" s="260"/>
      <c r="C14" s="32" t="s">
        <v>179</v>
      </c>
      <c r="D14" s="35">
        <f>+(D13-'Hierro Primario 2017'!D13)/'Hierro Primario 2017'!D13</f>
        <v>-1.7263198603612803E-2</v>
      </c>
      <c r="E14" s="35">
        <f>+(E13-'Hierro Primario 2017'!E13)/'Hierro Primario 2017'!E13</f>
        <v>7.221159541310293E-2</v>
      </c>
      <c r="F14" s="35">
        <f>+(F13-'Hierro Primario 2017'!F13)/'Hierro Primario 2017'!F13</f>
        <v>-2.6777840834679791E-2</v>
      </c>
      <c r="G14" s="35">
        <f>+(G13-'Hierro Primario 2017'!G13)/'Hierro Primario 2017'!G13</f>
        <v>4.9505390027893101E-2</v>
      </c>
      <c r="H14" s="35">
        <f>+(H13-'Hierro Primario 2017'!H13)/'Hierro Primario 2017'!H13</f>
        <v>1.0441992782557063E-2</v>
      </c>
      <c r="I14" s="35">
        <f>+(I13-'Hierro Primario 2017'!I13)/'Hierro Primario 2017'!I13</f>
        <v>-0.17427560801275632</v>
      </c>
      <c r="J14" s="35">
        <f>+(J13-'Hierro Primario 2017'!J13)/'Hierro Primario 2017'!J13</f>
        <v>-4.1439980680660737E-2</v>
      </c>
      <c r="K14" s="35">
        <f>+(K13-'Hierro Primario 2017'!K13)/'Hierro Primario 2017'!K13</f>
        <v>5.5364163329492289E-2</v>
      </c>
      <c r="L14" s="35">
        <f>+(L13-'Hierro Primario 2017'!L13)/'Hierro Primario 2017'!L13</f>
        <v>0.10431680215840086</v>
      </c>
      <c r="M14" s="35">
        <f>+(M13-'Hierro Primario 2017'!M13)/'Hierro Primario 2017'!M13</f>
        <v>-2.3377901730784849E-2</v>
      </c>
      <c r="N14" s="35">
        <f>+(N13-'Hierro Primario 2017'!N13)/'Hierro Primario 2017'!N13</f>
        <v>-7.6226765799256371E-2</v>
      </c>
      <c r="O14" s="35">
        <f>+(O13-'Hierro Primario 2017'!O13)/'Hierro Primario 2017'!O13</f>
        <v>-9.9856871877597328E-2</v>
      </c>
      <c r="P14" s="139">
        <f ca="1">(P13-SUM('Hierro Primario 2017'!$D13:OFFSET('Hierro Primario 2017'!$D13,0,Índice!$Y$4)))/SUM('Hierro Primario 2017'!$D13:OFFSET('Hierro Primario 2017'!$D13,0,Índice!$Y$4))</f>
        <v>-1.428494061294191E-2</v>
      </c>
    </row>
    <row r="15" spans="1:18" ht="18" customHeight="1" thickTop="1" thickBot="1">
      <c r="B15" s="260" t="s">
        <v>2</v>
      </c>
      <c r="C15" s="29" t="s">
        <v>15</v>
      </c>
      <c r="D15" s="170">
        <f>+'Hierro Primario 2017'!D15*1.01</f>
        <v>18.18</v>
      </c>
      <c r="E15" s="170">
        <f>+'Hierro Primario 2017'!E15*1.01</f>
        <v>13.13</v>
      </c>
      <c r="F15" s="170">
        <f>+'Hierro Primario 2017'!F15*1.01</f>
        <v>15.15</v>
      </c>
      <c r="G15" s="170">
        <f>+'Hierro Primario 2017'!G15*1.01</f>
        <v>18.18</v>
      </c>
      <c r="H15" s="170">
        <f>+'Hierro Primario 2017'!H15*1.01</f>
        <v>14.14</v>
      </c>
      <c r="I15" s="170">
        <f>+'Hierro Primario 2017'!I15*1.01</f>
        <v>15.15</v>
      </c>
      <c r="J15" s="170">
        <f>+'Hierro Primario 2017'!J15*1.01</f>
        <v>17.170000000000002</v>
      </c>
      <c r="K15" s="170">
        <f>+'Hierro Primario 2017'!K15*1.01</f>
        <v>19.190000000000001</v>
      </c>
      <c r="L15" s="170">
        <f>+'Hierro Primario 2017'!L15*1.01</f>
        <v>18.18</v>
      </c>
      <c r="M15" s="170">
        <f>+'Hierro Primario 2017'!M15*1.01</f>
        <v>18.18</v>
      </c>
      <c r="N15" s="170">
        <f>+'Hierro Primario 2017'!N15*1.01</f>
        <v>21.21</v>
      </c>
      <c r="O15" s="170">
        <f>+'Hierro Primario 2017'!O15*1.01</f>
        <v>17.170000000000002</v>
      </c>
      <c r="P15" s="34">
        <f>SUM(D15:O15)</f>
        <v>205.03000000000003</v>
      </c>
    </row>
    <row r="16" spans="1:18" ht="18" customHeight="1" thickTop="1" thickBot="1">
      <c r="B16" s="260"/>
      <c r="C16" s="29" t="s">
        <v>16</v>
      </c>
      <c r="D16" s="170">
        <f>+'Hierro Primario 2017'!D16</f>
        <v>0</v>
      </c>
      <c r="E16" s="170">
        <f>+'Hierro Primario 2017'!E16</f>
        <v>0</v>
      </c>
      <c r="F16" s="170">
        <f>+'Hierro Primario 2017'!F16</f>
        <v>0</v>
      </c>
      <c r="G16" s="170">
        <f>+'Hierro Primario 2017'!G16</f>
        <v>0</v>
      </c>
      <c r="H16" s="170">
        <f>+'Hierro Primario 2017'!H16</f>
        <v>0</v>
      </c>
      <c r="I16" s="170"/>
      <c r="J16" s="170"/>
      <c r="K16" s="34"/>
      <c r="L16" s="34"/>
      <c r="M16" s="34"/>
      <c r="N16" s="34"/>
      <c r="O16" s="34"/>
      <c r="P16" s="34">
        <f>SUM(D16:O16)</f>
        <v>0</v>
      </c>
    </row>
    <row r="17" spans="2:16" ht="18" customHeight="1" thickTop="1" thickBot="1">
      <c r="B17" s="260"/>
      <c r="C17" s="29" t="s">
        <v>8</v>
      </c>
      <c r="D17" s="170">
        <f>+D15+D16</f>
        <v>18.18</v>
      </c>
      <c r="E17" s="170">
        <f>+E15+E16</f>
        <v>13.13</v>
      </c>
      <c r="F17" s="170">
        <f>+F15+F16</f>
        <v>15.15</v>
      </c>
      <c r="G17" s="170">
        <f>+G15+G16</f>
        <v>18.18</v>
      </c>
      <c r="H17" s="170">
        <f t="shared" ref="H17:O17" si="3">+H15+H16</f>
        <v>14.14</v>
      </c>
      <c r="I17" s="170">
        <f t="shared" si="3"/>
        <v>15.15</v>
      </c>
      <c r="J17" s="170">
        <f t="shared" ref="J17" si="4">+J15+J16</f>
        <v>17.170000000000002</v>
      </c>
      <c r="K17" s="170">
        <f t="shared" si="3"/>
        <v>19.190000000000001</v>
      </c>
      <c r="L17" s="170">
        <f t="shared" si="3"/>
        <v>18.18</v>
      </c>
      <c r="M17" s="170">
        <f t="shared" si="3"/>
        <v>18.18</v>
      </c>
      <c r="N17" s="170">
        <f t="shared" si="3"/>
        <v>21.21</v>
      </c>
      <c r="O17" s="170">
        <f t="shared" si="3"/>
        <v>17.170000000000002</v>
      </c>
      <c r="P17" s="34">
        <f>+P15+P16</f>
        <v>205.03000000000003</v>
      </c>
    </row>
    <row r="18" spans="2:16" ht="18" customHeight="1" thickTop="1" thickBot="1">
      <c r="B18" s="260"/>
      <c r="C18" s="32" t="s">
        <v>179</v>
      </c>
      <c r="D18" s="172">
        <f>+(D17-'Hierro Primario 2017'!D17)/'Hierro Primario 2017'!D17</f>
        <v>9.9999999999999846E-3</v>
      </c>
      <c r="E18" s="172">
        <f>+(E17-'Hierro Primario 2017'!E17)/'Hierro Primario 2017'!E17</f>
        <v>1.0000000000000061E-2</v>
      </c>
      <c r="F18" s="172">
        <f>+(F17-'Hierro Primario 2017'!F17)/'Hierro Primario 2017'!F17</f>
        <v>1.0000000000000024E-2</v>
      </c>
      <c r="G18" s="172">
        <f>+(G17-'Hierro Primario 2017'!G17)/'Hierro Primario 2017'!G17</f>
        <v>9.9999999999999846E-3</v>
      </c>
      <c r="H18" s="172">
        <f>+(H17-'Hierro Primario 2017'!H17)/'Hierro Primario 2017'!H17</f>
        <v>1.000000000000004E-2</v>
      </c>
      <c r="I18" s="172">
        <f>+(I17-'Hierro Primario 2017'!I17)/'Hierro Primario 2017'!I17</f>
        <v>1.0000000000000024E-2</v>
      </c>
      <c r="J18" s="172">
        <f>+(J17-'Hierro Primario 2017'!J17)/'Hierro Primario 2017'!J17</f>
        <v>1.0000000000000101E-2</v>
      </c>
      <c r="K18" s="172">
        <f>+(K17-'Hierro Primario 2017'!K17)/'Hierro Primario 2017'!K17</f>
        <v>1.0000000000000068E-2</v>
      </c>
      <c r="L18" s="172">
        <f>+(L17-'Hierro Primario 2017'!L17)/'Hierro Primario 2017'!L17</f>
        <v>9.9999999999999846E-3</v>
      </c>
      <c r="M18" s="172">
        <f>+(M17-'Hierro Primario 2017'!M17)/'Hierro Primario 2017'!M17</f>
        <v>9.9999999999999846E-3</v>
      </c>
      <c r="N18" s="172">
        <f>+(N17-'Hierro Primario 2017'!N17)/'Hierro Primario 2017'!N17</f>
        <v>1.000000000000004E-2</v>
      </c>
      <c r="O18" s="172">
        <f>+(O17-'Hierro Primario 2017'!O17)/'Hierro Primario 2017'!O17</f>
        <v>1.0000000000000101E-2</v>
      </c>
      <c r="P18" s="139">
        <f ca="1">(P17-SUM('Hierro Primario 2017'!$D17:OFFSET('Hierro Primario 2017'!$D17,0,Índice!$Y$4)))/SUM('Hierro Primario 2017'!$D17:OFFSET('Hierro Primario 2017'!$D17,0,Índice!$Y$4))</f>
        <v>1.0000000000000146E-2</v>
      </c>
    </row>
    <row r="19" spans="2:16" s="3" customFormat="1" ht="18" customHeight="1" thickTop="1" thickBot="1">
      <c r="B19" s="260" t="s">
        <v>43</v>
      </c>
      <c r="C19" s="29" t="s">
        <v>15</v>
      </c>
      <c r="D19" s="171">
        <v>383.721</v>
      </c>
      <c r="E19" s="171">
        <v>369.21600000000001</v>
      </c>
      <c r="F19" s="171">
        <v>435.346</v>
      </c>
      <c r="G19" s="171">
        <v>416.55900000000003</v>
      </c>
      <c r="H19" s="171">
        <v>349.399</v>
      </c>
      <c r="I19" s="171">
        <v>395.48899999999998</v>
      </c>
      <c r="J19" s="171">
        <v>381.25900000000001</v>
      </c>
      <c r="K19" s="171">
        <v>298.57299999999998</v>
      </c>
      <c r="L19" s="171">
        <v>364.428</v>
      </c>
      <c r="M19" s="171">
        <v>293.78899999999999</v>
      </c>
      <c r="N19" s="171">
        <v>375.23399999999998</v>
      </c>
      <c r="O19" s="171">
        <v>365.37200000000001</v>
      </c>
      <c r="P19" s="34">
        <f>SUM(D19:O19)</f>
        <v>4428.3849999999993</v>
      </c>
    </row>
    <row r="20" spans="2:16" s="3" customFormat="1" ht="18" customHeight="1" thickTop="1" thickBot="1">
      <c r="B20" s="260"/>
      <c r="C20" s="29" t="s">
        <v>16</v>
      </c>
      <c r="D20" s="171">
        <v>501.93700000000001</v>
      </c>
      <c r="E20" s="171">
        <v>490.73500000000001</v>
      </c>
      <c r="F20" s="171">
        <v>549.58199999999999</v>
      </c>
      <c r="G20" s="171">
        <v>446.185</v>
      </c>
      <c r="H20" s="171">
        <v>499.452</v>
      </c>
      <c r="I20" s="171">
        <v>445.49099999999999</v>
      </c>
      <c r="J20" s="171">
        <v>466.04300000000001</v>
      </c>
      <c r="K20" s="171">
        <v>557.21400000000006</v>
      </c>
      <c r="L20" s="171">
        <v>511.28800000000001</v>
      </c>
      <c r="M20" s="171">
        <v>499.69900000000001</v>
      </c>
      <c r="N20" s="171">
        <v>501.16399999999999</v>
      </c>
      <c r="O20" s="171">
        <v>503.35700000000003</v>
      </c>
      <c r="P20" s="34">
        <f>SUM(D20:O20)</f>
        <v>5972.146999999999</v>
      </c>
    </row>
    <row r="21" spans="2:16" s="3" customFormat="1" ht="18" customHeight="1" thickTop="1" thickBot="1">
      <c r="B21" s="260"/>
      <c r="C21" s="29" t="s">
        <v>8</v>
      </c>
      <c r="D21" s="171">
        <v>885.65800000000002</v>
      </c>
      <c r="E21" s="171">
        <v>859.95100000000002</v>
      </c>
      <c r="F21" s="171">
        <v>984.928</v>
      </c>
      <c r="G21" s="171">
        <v>862.74400000000003</v>
      </c>
      <c r="H21" s="171">
        <v>848.851</v>
      </c>
      <c r="I21" s="171">
        <v>840.98</v>
      </c>
      <c r="J21" s="171">
        <v>847.30200000000002</v>
      </c>
      <c r="K21" s="171">
        <v>855.78700000000003</v>
      </c>
      <c r="L21" s="171">
        <v>875.71600000000001</v>
      </c>
      <c r="M21" s="171">
        <v>793.48800000000006</v>
      </c>
      <c r="N21" s="171">
        <v>876.39800000000002</v>
      </c>
      <c r="O21" s="171">
        <v>868.72900000000004</v>
      </c>
      <c r="P21" s="34">
        <f>+P19+P20</f>
        <v>10400.531999999999</v>
      </c>
    </row>
    <row r="22" spans="2:16" s="3" customFormat="1" ht="18" customHeight="1" thickTop="1" thickBot="1">
      <c r="B22" s="260"/>
      <c r="C22" s="32" t="s">
        <v>179</v>
      </c>
      <c r="D22" s="35">
        <f>+(D21-'Hierro Primario 2017'!D21)/'Hierro Primario 2017'!D21</f>
        <v>7.3267264341406443E-2</v>
      </c>
      <c r="E22" s="35">
        <f>+(E21-'Hierro Primario 2017'!E21)/'Hierro Primario 2017'!E21</f>
        <v>2.8134224593176434E-2</v>
      </c>
      <c r="F22" s="35">
        <f>+(F21-'Hierro Primario 2017'!F21)/'Hierro Primario 2017'!F21</f>
        <v>9.0855525836337575E-2</v>
      </c>
      <c r="G22" s="35">
        <f>+(G21-'Hierro Primario 2017'!G21)/'Hierro Primario 2017'!G21</f>
        <v>3.1249066161766377E-2</v>
      </c>
      <c r="H22" s="35">
        <f>+(H21-'Hierro Primario 2017'!H21)/'Hierro Primario 2017'!H21</f>
        <v>-4.8750832068887383E-2</v>
      </c>
      <c r="I22" s="35">
        <f>+(I21-'Hierro Primario 2017'!I21)/'Hierro Primario 2017'!I21</f>
        <v>-5.6650547458560546E-2</v>
      </c>
      <c r="J22" s="35">
        <f>+(J21-'Hierro Primario 2017'!J21)/'Hierro Primario 2017'!J21</f>
        <v>-2.570329613467404E-2</v>
      </c>
      <c r="K22" s="35">
        <f>+(K21-'Hierro Primario 2017'!K21)/'Hierro Primario 2017'!K21</f>
        <v>1.5995222684177243E-2</v>
      </c>
      <c r="L22" s="35">
        <f>+(L21-'Hierro Primario 2017'!L21)/'Hierro Primario 2017'!L21</f>
        <v>3.5270918722609963E-2</v>
      </c>
      <c r="M22" s="35">
        <f>+(M21-'Hierro Primario 2017'!M21)/'Hierro Primario 2017'!M21</f>
        <v>-7.2023090426197436E-2</v>
      </c>
      <c r="N22" s="35">
        <f>+(N21-'Hierro Primario 2017'!N21)/'Hierro Primario 2017'!N21</f>
        <v>4.1988771606097895E-2</v>
      </c>
      <c r="O22" s="35">
        <f>+(O21-'Hierro Primario 2017'!O21)/'Hierro Primario 2017'!O21</f>
        <v>6.3498029038023832E-2</v>
      </c>
      <c r="P22" s="139">
        <f ca="1">(P21-SUM('Hierro Primario 2017'!$D21:OFFSET('Hierro Primario 2017'!$D21,0,Índice!$Y$4)))/SUM('Hierro Primario 2017'!$D21:OFFSET('Hierro Primario 2017'!$D21,0,Índice!$Y$4))</f>
        <v>1.4110726451286113E-2</v>
      </c>
    </row>
    <row r="23" spans="2:16" ht="18" customHeight="1" thickTop="1" thickBot="1">
      <c r="B23" s="260" t="s">
        <v>6</v>
      </c>
      <c r="C23" s="29" t="s">
        <v>15</v>
      </c>
      <c r="D23" s="170">
        <f>+'Hierro Primario 2017'!D23*1.04</f>
        <v>3.12</v>
      </c>
      <c r="E23" s="170">
        <f>+'Hierro Primario 2017'!E23*1.04</f>
        <v>2.08</v>
      </c>
      <c r="F23" s="170">
        <f>+'Hierro Primario 2017'!F23*1.04</f>
        <v>1.56</v>
      </c>
      <c r="G23" s="170">
        <f>+'Hierro Primario 2017'!G23*1.04</f>
        <v>3.3280000000000003</v>
      </c>
      <c r="H23" s="170">
        <f>+'Hierro Primario 2017'!H23*1.04</f>
        <v>2.08</v>
      </c>
      <c r="I23" s="170">
        <f>+'Hierro Primario 2017'!I23*1.04</f>
        <v>3.12</v>
      </c>
      <c r="J23" s="170">
        <f>+'Hierro Primario 2017'!J23*1.04</f>
        <v>3.12</v>
      </c>
      <c r="K23" s="170">
        <f>+'Hierro Primario 2017'!K23*1.04</f>
        <v>4.16</v>
      </c>
      <c r="L23" s="170">
        <f>+'Hierro Primario 2017'!L23*1.04</f>
        <v>4.16</v>
      </c>
      <c r="M23" s="170">
        <f>+'Hierro Primario 2017'!M23*1.04</f>
        <v>4.16</v>
      </c>
      <c r="N23" s="170">
        <f>+'Hierro Primario 2017'!N23*1.04</f>
        <v>4.16</v>
      </c>
      <c r="O23" s="170">
        <f>+'Hierro Primario 2017'!O23*1.04</f>
        <v>4.16</v>
      </c>
      <c r="P23" s="34">
        <f>SUM(D23:O23)</f>
        <v>39.207999999999998</v>
      </c>
    </row>
    <row r="24" spans="2:16" ht="18" customHeight="1" thickTop="1" thickBot="1">
      <c r="B24" s="260"/>
      <c r="C24" s="29" t="s">
        <v>16</v>
      </c>
      <c r="D24" s="170">
        <f>+'Hierro Primario 2017'!D24*1.04</f>
        <v>0</v>
      </c>
      <c r="E24" s="170">
        <f>+'Hierro Primario 2017'!E24*1.04</f>
        <v>0</v>
      </c>
      <c r="F24" s="170">
        <f>+'Hierro Primario 2017'!F24*1.04</f>
        <v>0</v>
      </c>
      <c r="G24" s="170">
        <f>+'Hierro Primario 2017'!G24*1.04</f>
        <v>0</v>
      </c>
      <c r="H24" s="170">
        <f>+'Hierro Primario 2017'!H24*1.04</f>
        <v>0</v>
      </c>
      <c r="I24" s="170">
        <f>+'Hierro Primario 2017'!I24*1.04</f>
        <v>0</v>
      </c>
      <c r="J24" s="170">
        <f>+'Hierro Primario 2017'!J24*1.04</f>
        <v>0</v>
      </c>
      <c r="K24" s="34"/>
      <c r="L24" s="34"/>
      <c r="M24" s="34"/>
      <c r="N24" s="34"/>
      <c r="O24" s="170"/>
      <c r="P24" s="34">
        <f>SUM(D24:O24)</f>
        <v>0</v>
      </c>
    </row>
    <row r="25" spans="2:16" ht="18" customHeight="1" thickTop="1" thickBot="1">
      <c r="B25" s="260"/>
      <c r="C25" s="29" t="s">
        <v>8</v>
      </c>
      <c r="D25" s="170">
        <f t="shared" ref="D25" si="5">+D23+D24</f>
        <v>3.12</v>
      </c>
      <c r="E25" s="170">
        <f>+E23+E24</f>
        <v>2.08</v>
      </c>
      <c r="F25" s="170">
        <f>+F23+F24</f>
        <v>1.56</v>
      </c>
      <c r="G25" s="170">
        <f>+G23+G24</f>
        <v>3.3280000000000003</v>
      </c>
      <c r="H25" s="170">
        <f t="shared" ref="H25:P25" si="6">+H23+H24</f>
        <v>2.08</v>
      </c>
      <c r="I25" s="170">
        <f t="shared" si="6"/>
        <v>3.12</v>
      </c>
      <c r="J25" s="170">
        <f t="shared" ref="J25" si="7">+J23+J24</f>
        <v>3.12</v>
      </c>
      <c r="K25" s="170">
        <f t="shared" si="6"/>
        <v>4.16</v>
      </c>
      <c r="L25" s="170">
        <f t="shared" si="6"/>
        <v>4.16</v>
      </c>
      <c r="M25" s="170">
        <f t="shared" si="6"/>
        <v>4.16</v>
      </c>
      <c r="N25" s="170">
        <f t="shared" si="6"/>
        <v>4.16</v>
      </c>
      <c r="O25" s="170">
        <f t="shared" si="6"/>
        <v>4.16</v>
      </c>
      <c r="P25" s="34">
        <f t="shared" si="6"/>
        <v>39.207999999999998</v>
      </c>
    </row>
    <row r="26" spans="2:16" ht="18" customHeight="1" thickTop="1" thickBot="1">
      <c r="B26" s="260"/>
      <c r="C26" s="32" t="s">
        <v>179</v>
      </c>
      <c r="D26" s="172">
        <f>+(D25-'Hierro Primario 2017'!D25)/'Hierro Primario 2017'!D25</f>
        <v>4.0000000000000036E-2</v>
      </c>
      <c r="E26" s="172">
        <f>+(E25-'Hierro Primario 2017'!E25)/'Hierro Primario 2017'!E25</f>
        <v>4.0000000000000036E-2</v>
      </c>
      <c r="F26" s="172">
        <f>+(F25-'Hierro Primario 2017'!F25)/'Hierro Primario 2017'!F25</f>
        <v>4.0000000000000036E-2</v>
      </c>
      <c r="G26" s="172">
        <f>+(G25-'Hierro Primario 2017'!G25)/'Hierro Primario 2017'!G25</f>
        <v>4.0000000000000036E-2</v>
      </c>
      <c r="H26" s="172">
        <f>+(H25-'Hierro Primario 2017'!H25)/'Hierro Primario 2017'!H25</f>
        <v>4.0000000000000036E-2</v>
      </c>
      <c r="I26" s="172">
        <f>+(I25-'Hierro Primario 2017'!I25)/'Hierro Primario 2017'!I25</f>
        <v>4.0000000000000036E-2</v>
      </c>
      <c r="J26" s="172">
        <f>+(J25-'Hierro Primario 2017'!J25)/'Hierro Primario 2017'!J25</f>
        <v>4.0000000000000036E-2</v>
      </c>
      <c r="K26" s="172">
        <f>+(K25-'Hierro Primario 2017'!K25)/'Hierro Primario 2017'!K25</f>
        <v>4.0000000000000036E-2</v>
      </c>
      <c r="L26" s="172">
        <f>+(L25-'Hierro Primario 2017'!L25)/'Hierro Primario 2017'!L25</f>
        <v>4.0000000000000036E-2</v>
      </c>
      <c r="M26" s="172">
        <f>+(M25-'Hierro Primario 2017'!M25)/'Hierro Primario 2017'!M25</f>
        <v>4.0000000000000036E-2</v>
      </c>
      <c r="N26" s="172">
        <f>+(N25-'Hierro Primario 2017'!N25)/'Hierro Primario 2017'!N25</f>
        <v>4.0000000000000036E-2</v>
      </c>
      <c r="O26" s="172">
        <f>+(O25-'Hierro Primario 2017'!O25)/'Hierro Primario 2017'!O25</f>
        <v>4.0000000000000036E-2</v>
      </c>
      <c r="P26" s="139">
        <f ca="1">(P25-SUM('Hierro Primario 2017'!$D25:OFFSET('Hierro Primario 2017'!$D25,0,Índice!$Y$4)))/SUM('Hierro Primario 2017'!$D25:OFFSET('Hierro Primario 2017'!$D25,0,Índice!$Y$4))</f>
        <v>3.9999999999999876E-2</v>
      </c>
    </row>
    <row r="27" spans="2:16" s="3" customFormat="1" ht="18" hidden="1" customHeight="1" thickTop="1" thickBot="1">
      <c r="B27" s="261" t="s">
        <v>171</v>
      </c>
      <c r="C27" s="29" t="s">
        <v>15</v>
      </c>
      <c r="D27" s="170">
        <f>+'Hierro Primario 2017'!D27*1.033</f>
        <v>0</v>
      </c>
      <c r="E27" s="34"/>
      <c r="F27" s="34"/>
      <c r="G27" s="34"/>
      <c r="H27" s="34"/>
      <c r="I27" s="34"/>
      <c r="J27" s="171"/>
      <c r="K27" s="34"/>
      <c r="L27" s="34"/>
      <c r="M27" s="34"/>
      <c r="N27" s="34"/>
      <c r="O27" s="34"/>
      <c r="P27" s="34">
        <f>SUM(D27:O27)</f>
        <v>0</v>
      </c>
    </row>
    <row r="28" spans="2:16" s="3" customFormat="1" ht="18" hidden="1" customHeight="1" thickTop="1" thickBot="1">
      <c r="B28" s="261"/>
      <c r="C28" s="29" t="s">
        <v>16</v>
      </c>
      <c r="D28" s="170">
        <f>+'Hierro Primario 2017'!D28*1.033</f>
        <v>0</v>
      </c>
      <c r="E28" s="34"/>
      <c r="F28" s="34"/>
      <c r="G28" s="34"/>
      <c r="H28" s="34"/>
      <c r="I28" s="34"/>
      <c r="J28" s="171"/>
      <c r="K28" s="34"/>
      <c r="L28" s="34"/>
      <c r="M28" s="34"/>
      <c r="N28" s="34"/>
      <c r="O28" s="34"/>
      <c r="P28" s="34">
        <f>SUM(D28:O28)</f>
        <v>0</v>
      </c>
    </row>
    <row r="29" spans="2:16" s="3" customFormat="1" ht="18" hidden="1" customHeight="1" thickTop="1" thickBot="1">
      <c r="B29" s="261"/>
      <c r="C29" s="29" t="s">
        <v>8</v>
      </c>
      <c r="D29" s="170">
        <f t="shared" ref="D29" si="8">+D27+D28</f>
        <v>0</v>
      </c>
      <c r="E29" s="34">
        <f>+E27+E28</f>
        <v>0</v>
      </c>
      <c r="F29" s="34">
        <f t="shared" ref="F29:P29" si="9">+F27+F28</f>
        <v>0</v>
      </c>
      <c r="G29" s="34">
        <f t="shared" si="9"/>
        <v>0</v>
      </c>
      <c r="H29" s="34">
        <f t="shared" si="9"/>
        <v>0</v>
      </c>
      <c r="I29" s="34">
        <f t="shared" si="9"/>
        <v>0</v>
      </c>
      <c r="J29" s="171">
        <f t="shared" ref="J29" si="10">+J27+J28</f>
        <v>0</v>
      </c>
      <c r="K29" s="34">
        <f t="shared" si="9"/>
        <v>0</v>
      </c>
      <c r="L29" s="34">
        <f t="shared" si="9"/>
        <v>0</v>
      </c>
      <c r="M29" s="34">
        <f t="shared" si="9"/>
        <v>0</v>
      </c>
      <c r="N29" s="34">
        <f t="shared" si="9"/>
        <v>0</v>
      </c>
      <c r="O29" s="34">
        <f t="shared" si="9"/>
        <v>0</v>
      </c>
      <c r="P29" s="34">
        <f t="shared" si="9"/>
        <v>0</v>
      </c>
    </row>
    <row r="30" spans="2:16" s="3" customFormat="1" ht="18" hidden="1" customHeight="1" thickTop="1" thickBot="1">
      <c r="B30" s="261"/>
      <c r="C30" s="32" t="s">
        <v>179</v>
      </c>
      <c r="D30" s="172" t="e">
        <f>+(D29-'Hierro Primario 2017'!D29)/'Hierro Primario 2017'!D29</f>
        <v>#DIV/0!</v>
      </c>
      <c r="E30" s="35" t="e">
        <f>+(E29-'Hierro Primario 2017'!E29)/'Hierro Primario 2017'!E29</f>
        <v>#DIV/0!</v>
      </c>
      <c r="F30" s="35" t="e">
        <f>+(F29-'Hierro Primario 2017'!F29)/'Hierro Primario 2017'!F29</f>
        <v>#DIV/0!</v>
      </c>
      <c r="G30" s="35" t="e">
        <f>+(G29-'Hierro Primario 2017'!G29)/'Hierro Primario 2017'!G29</f>
        <v>#DIV/0!</v>
      </c>
      <c r="H30" s="35" t="e">
        <f>+(H29-'Hierro Primario 2017'!H29)/'Hierro Primario 2017'!H29</f>
        <v>#DIV/0!</v>
      </c>
      <c r="I30" s="35" t="e">
        <f>+(I29-'Hierro Primario 2017'!I29)/'Hierro Primario 2017'!I29</f>
        <v>#DIV/0!</v>
      </c>
      <c r="J30" s="35" t="e">
        <f>+(J29-'Hierro Primario 2017'!J29)/'Hierro Primario 2017'!J29</f>
        <v>#DIV/0!</v>
      </c>
      <c r="K30" s="35" t="e">
        <f>+(K29-'Hierro Primario 2017'!K29)/'Hierro Primario 2017'!K29</f>
        <v>#DIV/0!</v>
      </c>
      <c r="L30" s="35" t="e">
        <f>+(L29-'Hierro Primario 2017'!L29)/'Hierro Primario 2017'!L29</f>
        <v>#DIV/0!</v>
      </c>
      <c r="M30" s="35" t="e">
        <f>+(M29-'Hierro Primario 2017'!M29)/'Hierro Primario 2017'!M29</f>
        <v>#DIV/0!</v>
      </c>
      <c r="N30" s="35" t="e">
        <f>+(N29-'Hierro Primario 2017'!N29)/'Hierro Primario 2017'!N29</f>
        <v>#DIV/0!</v>
      </c>
      <c r="O30" s="35" t="e">
        <f>+(O29-'Hierro Primario 2017'!O29)/'Hierro Primario 2017'!O29</f>
        <v>#DIV/0!</v>
      </c>
      <c r="P30" s="35">
        <f>+(P29-'Hierro Primario 2016'!R33)/'Hierro Primario 2016'!R33</f>
        <v>-1</v>
      </c>
    </row>
    <row r="31" spans="2:16" s="3" customFormat="1" ht="18" customHeight="1" thickTop="1" thickBot="1">
      <c r="B31" s="261" t="s">
        <v>3</v>
      </c>
      <c r="C31" s="29" t="s">
        <v>15</v>
      </c>
      <c r="D31" s="170">
        <f>+'Hierro Primario 2017'!D31*1</f>
        <v>0</v>
      </c>
      <c r="E31" s="170">
        <f>+'Hierro Primario 2017'!E31*1</f>
        <v>0</v>
      </c>
      <c r="F31" s="170">
        <f>+'Hierro Primario 2017'!F31*1</f>
        <v>0</v>
      </c>
      <c r="G31" s="170">
        <f>+'Hierro Primario 2017'!G31*1</f>
        <v>0</v>
      </c>
      <c r="H31" s="170">
        <f>+'Hierro Primario 2017'!H31*1</f>
        <v>0</v>
      </c>
      <c r="I31" s="170">
        <f>+'Hierro Primario 2017'!I31*1</f>
        <v>0</v>
      </c>
      <c r="J31" s="170">
        <f>+'Hierro Primario 2017'!J31*1</f>
        <v>0</v>
      </c>
      <c r="K31" s="170">
        <f>+'Hierro Primario 2017'!K31*1</f>
        <v>0</v>
      </c>
      <c r="L31" s="170">
        <f>+'Hierro Primario 2017'!L31*1</f>
        <v>0</v>
      </c>
      <c r="M31" s="170">
        <f>+'Hierro Primario 2017'!M31*1</f>
        <v>0</v>
      </c>
      <c r="N31" s="34">
        <f>+'Hierro Primario 2017'!N31*1</f>
        <v>0</v>
      </c>
      <c r="O31" s="170">
        <f>+'Hierro Primario 2017'!O31*1</f>
        <v>0</v>
      </c>
      <c r="P31" s="34">
        <f>SUM(D31:O31)</f>
        <v>0</v>
      </c>
    </row>
    <row r="32" spans="2:16" s="3" customFormat="1" ht="18" customHeight="1" thickTop="1" thickBot="1">
      <c r="B32" s="261"/>
      <c r="C32" s="29" t="s">
        <v>16</v>
      </c>
      <c r="D32" s="170">
        <f>+'Hierro Primario 2017'!D32*1</f>
        <v>33.78</v>
      </c>
      <c r="E32" s="170">
        <f>+'Hierro Primario 2017'!E32*1</f>
        <v>39.844999999999999</v>
      </c>
      <c r="F32" s="170">
        <f>+'Hierro Primario 2017'!F32*1-15</f>
        <v>59.466999999999999</v>
      </c>
      <c r="G32" s="170">
        <f>+'Hierro Primario 2017'!G32*1-15</f>
        <v>55.978999999999999</v>
      </c>
      <c r="H32" s="170">
        <f>+'Hierro Primario 2017'!H32*1</f>
        <v>56.973999999999997</v>
      </c>
      <c r="I32" s="170">
        <f>+'Hierro Primario 2017'!I32*1</f>
        <v>43.5</v>
      </c>
      <c r="J32" s="170">
        <v>30</v>
      </c>
      <c r="K32" s="170">
        <f>+'Hierro Primario 2017'!K32*1</f>
        <v>18.834</v>
      </c>
      <c r="L32" s="170">
        <f>+'Hierro Primario 2017'!L32*1</f>
        <v>28.271999999999998</v>
      </c>
      <c r="M32" s="170">
        <v>30</v>
      </c>
      <c r="N32" s="170">
        <v>25</v>
      </c>
      <c r="O32" s="170">
        <v>20</v>
      </c>
      <c r="P32" s="34">
        <f>SUM(D32:O32)</f>
        <v>441.65099999999995</v>
      </c>
    </row>
    <row r="33" spans="2:17" s="3" customFormat="1" ht="18" customHeight="1" thickTop="1" thickBot="1">
      <c r="B33" s="261"/>
      <c r="C33" s="29" t="s">
        <v>8</v>
      </c>
      <c r="D33" s="170">
        <f t="shared" ref="D33" si="11">+D31+D32</f>
        <v>33.78</v>
      </c>
      <c r="E33" s="170">
        <f>+E31+E32</f>
        <v>39.844999999999999</v>
      </c>
      <c r="F33" s="170">
        <f>+F31+F32</f>
        <v>59.466999999999999</v>
      </c>
      <c r="G33" s="170">
        <f>+G31+G32</f>
        <v>55.978999999999999</v>
      </c>
      <c r="H33" s="170">
        <f t="shared" ref="H33:P33" si="12">+H31+H32</f>
        <v>56.973999999999997</v>
      </c>
      <c r="I33" s="170">
        <f t="shared" ref="I33:J33" si="13">+I31+I32</f>
        <v>43.5</v>
      </c>
      <c r="J33" s="170">
        <f t="shared" si="13"/>
        <v>30</v>
      </c>
      <c r="K33" s="170">
        <f t="shared" si="12"/>
        <v>18.834</v>
      </c>
      <c r="L33" s="170">
        <f t="shared" si="12"/>
        <v>28.271999999999998</v>
      </c>
      <c r="M33" s="170">
        <f t="shared" si="12"/>
        <v>30</v>
      </c>
      <c r="N33" s="170">
        <f t="shared" si="12"/>
        <v>25</v>
      </c>
      <c r="O33" s="170">
        <f t="shared" si="12"/>
        <v>20</v>
      </c>
      <c r="P33" s="34">
        <f t="shared" si="12"/>
        <v>441.65099999999995</v>
      </c>
    </row>
    <row r="34" spans="2:17" s="3" customFormat="1" ht="18" customHeight="1" thickTop="1" thickBot="1">
      <c r="B34" s="261"/>
      <c r="C34" s="32" t="s">
        <v>179</v>
      </c>
      <c r="D34" s="172">
        <f>+(D33-'Hierro Primario 2017'!D33)/'Hierro Primario 2017'!D33</f>
        <v>0</v>
      </c>
      <c r="E34" s="172">
        <f>IFERROR((E33-'Hierro Primario 2017'!E33)/'Hierro Primario 2017'!E33,0)</f>
        <v>0</v>
      </c>
      <c r="F34" s="172">
        <f>IFERROR((F33-'Hierro Primario 2017'!F33)/'Hierro Primario 2017'!F33,0)</f>
        <v>-0.20143150657338149</v>
      </c>
      <c r="G34" s="172">
        <f>IFERROR((G33-'Hierro Primario 2017'!G33)/'Hierro Primario 2017'!G33,0)</f>
        <v>-0.21133011172318572</v>
      </c>
      <c r="H34" s="172">
        <f>IFERROR((H33-'Hierro Primario 2017'!H33)/'Hierro Primario 2017'!H33,0)</f>
        <v>0</v>
      </c>
      <c r="I34" s="172">
        <f>IFERROR((I33-'Hierro Primario 2017'!I33)/'Hierro Primario 2017'!I33,0)</f>
        <v>0</v>
      </c>
      <c r="J34" s="172">
        <f>IFERROR((J33-'Hierro Primario 2017'!J33)/'Hierro Primario 2017'!J33,0)</f>
        <v>0</v>
      </c>
      <c r="K34" s="172">
        <f>IFERROR((K33-'Hierro Primario 2017'!K33)/'Hierro Primario 2017'!K33,0)</f>
        <v>0</v>
      </c>
      <c r="L34" s="172">
        <f>IFERROR((L33-'Hierro Primario 2017'!L33)/'Hierro Primario 2017'!L33,0)</f>
        <v>0</v>
      </c>
      <c r="M34" s="172">
        <f>IFERROR((M33-'Hierro Primario 2017'!M33)/'Hierro Primario 2017'!M33,0)</f>
        <v>-0.55164992826398851</v>
      </c>
      <c r="N34" s="172">
        <f>IFERROR((N33-'Hierro Primario 2017'!N33)/'Hierro Primario 2017'!N33,0)</f>
        <v>-0.34542979079936109</v>
      </c>
      <c r="O34" s="172">
        <f>IFERROR((O33-'Hierro Primario 2017'!O33)/'Hierro Primario 2017'!O33,0)</f>
        <v>2.4695153191925365E-2</v>
      </c>
      <c r="P34" s="139">
        <f ca="1">(P33-SUM('Hierro Primario 2017'!$D33:OFFSET('Hierro Primario 2017'!$D33,0,Índice!$Y$4)))/SUM('Hierro Primario 2017'!$D33:OFFSET('Hierro Primario 2017'!$D33,0,Índice!$Y$4))</f>
        <v>-0.10100880567666932</v>
      </c>
    </row>
    <row r="35" spans="2:17" s="3" customFormat="1" ht="18" customHeight="1" thickTop="1" thickBot="1">
      <c r="B35" s="261" t="s">
        <v>63</v>
      </c>
      <c r="C35" s="29" t="s">
        <v>15</v>
      </c>
      <c r="D35" s="34">
        <f t="shared" ref="D35:O35" si="14">+D3+D7+D11+D15+D19+D23+D31</f>
        <v>2988.5049999999997</v>
      </c>
      <c r="E35" s="34">
        <f t="shared" si="14"/>
        <v>2768.5330000000004</v>
      </c>
      <c r="F35" s="34">
        <f t="shared" si="14"/>
        <v>3124.2269999999999</v>
      </c>
      <c r="G35" s="34">
        <f t="shared" si="14"/>
        <v>3019.4492</v>
      </c>
      <c r="H35" s="34">
        <f t="shared" si="14"/>
        <v>2810.1749999999997</v>
      </c>
      <c r="I35" s="34">
        <f t="shared" si="14"/>
        <v>2987.299</v>
      </c>
      <c r="J35" s="34">
        <f t="shared" si="14"/>
        <v>3107.2056000000002</v>
      </c>
      <c r="K35" s="34">
        <f t="shared" si="14"/>
        <v>2888.1916999999999</v>
      </c>
      <c r="L35" s="34">
        <f t="shared" si="14"/>
        <v>3148.0709999999999</v>
      </c>
      <c r="M35" s="34">
        <f t="shared" si="14"/>
        <v>3081.4470000000001</v>
      </c>
      <c r="N35" s="34">
        <f t="shared" si="14"/>
        <v>2954.2019999999998</v>
      </c>
      <c r="O35" s="34">
        <f t="shared" si="14"/>
        <v>3052.8549999999996</v>
      </c>
      <c r="P35" s="34">
        <f>SUM(D35:O35)</f>
        <v>35930.160499999998</v>
      </c>
    </row>
    <row r="36" spans="2:17" s="3" customFormat="1" ht="18" customHeight="1" thickTop="1" thickBot="1">
      <c r="B36" s="261"/>
      <c r="C36" s="29" t="s">
        <v>16</v>
      </c>
      <c r="D36" s="34">
        <f t="shared" ref="D36:O36" si="15">+D4+D8+D12+D16+D20+D24+D32</f>
        <v>676.25199999999995</v>
      </c>
      <c r="E36" s="34">
        <f t="shared" si="15"/>
        <v>680.37599999999998</v>
      </c>
      <c r="F36" s="34">
        <f t="shared" si="15"/>
        <v>788.63800000000003</v>
      </c>
      <c r="G36" s="34">
        <f t="shared" si="15"/>
        <v>668.16100000000006</v>
      </c>
      <c r="H36" s="34">
        <f t="shared" si="15"/>
        <v>701.255</v>
      </c>
      <c r="I36" s="34">
        <f t="shared" si="15"/>
        <v>594.34799999999996</v>
      </c>
      <c r="J36" s="34">
        <f t="shared" si="15"/>
        <v>550.37400000000002</v>
      </c>
      <c r="K36" s="34">
        <f t="shared" si="15"/>
        <v>653.50900000000001</v>
      </c>
      <c r="L36" s="34">
        <f t="shared" si="15"/>
        <v>676.58800000000008</v>
      </c>
      <c r="M36" s="34">
        <f t="shared" si="15"/>
        <v>691.24400000000003</v>
      </c>
      <c r="N36" s="34">
        <f t="shared" si="15"/>
        <v>678.76199999999994</v>
      </c>
      <c r="O36" s="34">
        <f t="shared" si="15"/>
        <v>660.68600000000004</v>
      </c>
      <c r="P36" s="34">
        <f>SUM(D36:O36)</f>
        <v>8020.1929999999993</v>
      </c>
    </row>
    <row r="37" spans="2:17" s="3" customFormat="1" ht="18" customHeight="1" thickTop="1" thickBot="1">
      <c r="B37" s="261"/>
      <c r="C37" s="29" t="s">
        <v>8</v>
      </c>
      <c r="D37" s="34">
        <f>+D35+D36</f>
        <v>3664.7569999999996</v>
      </c>
      <c r="E37" s="34">
        <f>+E35+E36</f>
        <v>3448.9090000000006</v>
      </c>
      <c r="F37" s="34">
        <f t="shared" ref="F37:N37" si="16">+F35+F36</f>
        <v>3912.8649999999998</v>
      </c>
      <c r="G37" s="34">
        <f t="shared" si="16"/>
        <v>3687.6102000000001</v>
      </c>
      <c r="H37" s="34">
        <f t="shared" si="16"/>
        <v>3511.43</v>
      </c>
      <c r="I37" s="34">
        <f t="shared" si="16"/>
        <v>3581.6469999999999</v>
      </c>
      <c r="J37" s="34">
        <f t="shared" si="16"/>
        <v>3657.5796</v>
      </c>
      <c r="K37" s="34">
        <f t="shared" si="16"/>
        <v>3541.7006999999999</v>
      </c>
      <c r="L37" s="34">
        <f t="shared" si="16"/>
        <v>3824.6590000000001</v>
      </c>
      <c r="M37" s="34">
        <f t="shared" si="16"/>
        <v>3772.6910000000003</v>
      </c>
      <c r="N37" s="34">
        <f t="shared" si="16"/>
        <v>3632.9639999999999</v>
      </c>
      <c r="O37" s="34">
        <f>+O35+O36</f>
        <v>3713.5409999999997</v>
      </c>
      <c r="P37" s="34">
        <f>SUM(D37:O37)</f>
        <v>43950.353499999997</v>
      </c>
    </row>
    <row r="38" spans="2:17" s="3" customFormat="1" ht="18" customHeight="1" thickTop="1" thickBot="1">
      <c r="B38" s="261"/>
      <c r="C38" s="32" t="s">
        <v>179</v>
      </c>
      <c r="D38" s="35">
        <f>+(D37-'Hierro Primario 2017'!D37)/'Hierro Primario 2017'!D37</f>
        <v>5.5672362557539712E-2</v>
      </c>
      <c r="E38" s="35">
        <f>+(E37-'Hierro Primario 2017'!E37)/'Hierro Primario 2017'!E37</f>
        <v>6.754612832527844E-2</v>
      </c>
      <c r="F38" s="35">
        <f>+(F37-'Hierro Primario 2017'!F37)/'Hierro Primario 2017'!F37</f>
        <v>4.0819043522659491E-2</v>
      </c>
      <c r="G38" s="35">
        <f>+(G37-'Hierro Primario 2017'!G37)/'Hierro Primario 2017'!G37</f>
        <v>-1.0972340559290887E-2</v>
      </c>
      <c r="H38" s="35">
        <f>+(H37-'Hierro Primario 2017'!H37)/'Hierro Primario 2017'!H37</f>
        <v>-8.4136906304333736E-2</v>
      </c>
      <c r="I38" s="35">
        <f>+(I37-'Hierro Primario 2017'!I37)/'Hierro Primario 2017'!I37</f>
        <v>1.0191188075974262E-2</v>
      </c>
      <c r="J38" s="35">
        <f>+(J37-'Hierro Primario 2017'!J37)/'Hierro Primario 2017'!J37</f>
        <v>5.3177344582337506E-2</v>
      </c>
      <c r="K38" s="35">
        <f>+(K37-'Hierro Primario 2017'!K37)/'Hierro Primario 2017'!K37</f>
        <v>-8.466346877972734E-3</v>
      </c>
      <c r="L38" s="35">
        <f>+(L37-'Hierro Primario 2017'!L37)/'Hierro Primario 2017'!L37</f>
        <v>4.7908626276165107E-2</v>
      </c>
      <c r="M38" s="35">
        <f>+(M37-'Hierro Primario 2017'!M37)/'Hierro Primario 2017'!M37</f>
        <v>-1.751636022628383E-2</v>
      </c>
      <c r="N38" s="35">
        <f>+(N37-'Hierro Primario 2017'!N37)/'Hierro Primario 2017'!N37</f>
        <v>-2.4785406371626351E-2</v>
      </c>
      <c r="O38" s="35">
        <f>+(O37-'Hierro Primario 2017'!O37)/'Hierro Primario 2017'!O37</f>
        <v>1.5552202840632327E-2</v>
      </c>
      <c r="P38" s="35">
        <f ca="1">(P37-SUM('Hierro Primario 2017'!$D37:OFFSET('Hierro Primario 2017'!$D37,0,Índice!$Y$4)))/SUM('Hierro Primario 2017'!$D37:OFFSET('Hierro Primario 2017'!$D37,0,Índice!$Y$4))</f>
        <v>1.0673551290395286E-2</v>
      </c>
    </row>
    <row r="39" spans="2:17" s="3" customFormat="1" ht="18" customHeight="1" thickTop="1">
      <c r="B39" s="28"/>
      <c r="C39" s="2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2"/>
    </row>
    <row r="40" spans="2:17" s="3" customFormat="1" ht="18" customHeight="1">
      <c r="B40" s="25" t="s">
        <v>19</v>
      </c>
      <c r="C40" s="25" t="s">
        <v>19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2"/>
    </row>
    <row r="41" spans="2:17" s="3" customFormat="1" ht="18" customHeight="1">
      <c r="B41" s="26" t="s">
        <v>12</v>
      </c>
      <c r="C41" s="26" t="s">
        <v>12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2"/>
    </row>
    <row r="42" spans="2:17" s="3" customFormat="1" ht="18" customHeight="1">
      <c r="B42" s="2"/>
      <c r="C42" s="2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2"/>
    </row>
  </sheetData>
  <mergeCells count="9">
    <mergeCell ref="B27:B30"/>
    <mergeCell ref="B31:B34"/>
    <mergeCell ref="B35:B38"/>
    <mergeCell ref="B3:B6"/>
    <mergeCell ref="B7:B10"/>
    <mergeCell ref="B11:B14"/>
    <mergeCell ref="B15:B18"/>
    <mergeCell ref="B19:B22"/>
    <mergeCell ref="B23:B26"/>
  </mergeCells>
  <hyperlinks>
    <hyperlink ref="P1" location="Índice!A1" display="Índice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2"/>
  <sheetViews>
    <sheetView zoomScale="90" zoomScaleNormal="90" zoomScaleSheetLayoutView="90" workbookViewId="0">
      <selection activeCell="O35" sqref="O35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36" customWidth="1"/>
    <col min="17" max="17" width="2.7109375" style="2" customWidth="1"/>
    <col min="18" max="18" width="11.42578125" style="36"/>
    <col min="19" max="16384" width="11.42578125" style="2"/>
  </cols>
  <sheetData>
    <row r="1" spans="1:18" s="8" customFormat="1" ht="38.25" customHeight="1" thickBot="1">
      <c r="A1" s="38" t="s">
        <v>41</v>
      </c>
      <c r="B1" s="22" t="s">
        <v>158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87" t="s">
        <v>111</v>
      </c>
      <c r="R1" s="38"/>
    </row>
    <row r="2" spans="1:18" ht="30" customHeight="1" thickTop="1">
      <c r="B2" s="33" t="s">
        <v>36</v>
      </c>
      <c r="C2" s="21" t="s">
        <v>23</v>
      </c>
      <c r="D2" s="140" t="s">
        <v>27</v>
      </c>
      <c r="E2" s="140" t="s">
        <v>28</v>
      </c>
      <c r="F2" s="142" t="s">
        <v>26</v>
      </c>
      <c r="G2" s="142" t="s">
        <v>22</v>
      </c>
      <c r="H2" s="142" t="s">
        <v>29</v>
      </c>
      <c r="I2" s="142" t="s">
        <v>30</v>
      </c>
      <c r="J2" s="142" t="s">
        <v>31</v>
      </c>
      <c r="K2" s="142" t="s">
        <v>32</v>
      </c>
      <c r="L2" s="142" t="s">
        <v>33</v>
      </c>
      <c r="M2" s="142" t="s">
        <v>24</v>
      </c>
      <c r="N2" s="142" t="s">
        <v>34</v>
      </c>
      <c r="O2" s="142" t="s">
        <v>35</v>
      </c>
      <c r="P2" s="140" t="s">
        <v>25</v>
      </c>
      <c r="R2" s="36" t="s">
        <v>175</v>
      </c>
    </row>
    <row r="3" spans="1:18" ht="18" customHeight="1" thickBot="1">
      <c r="B3" s="259" t="s">
        <v>0</v>
      </c>
      <c r="C3" s="29" t="s">
        <v>15</v>
      </c>
      <c r="D3" s="34">
        <v>170.67099999999999</v>
      </c>
      <c r="E3" s="34">
        <v>164.071</v>
      </c>
      <c r="F3" s="34">
        <v>178.49799999999999</v>
      </c>
      <c r="G3" s="34">
        <v>180.32599999999999</v>
      </c>
      <c r="H3" s="34">
        <v>182.953</v>
      </c>
      <c r="I3" s="34">
        <v>182.065</v>
      </c>
      <c r="J3" s="147">
        <v>179.078</v>
      </c>
      <c r="K3" s="34">
        <v>189.107</v>
      </c>
      <c r="L3" s="34">
        <v>172.018</v>
      </c>
      <c r="M3" s="34">
        <v>197.566</v>
      </c>
      <c r="N3" s="34">
        <v>181.10900000000001</v>
      </c>
      <c r="O3" s="34">
        <v>193.76499999999999</v>
      </c>
      <c r="P3" s="34">
        <f>SUM(D3:O3)</f>
        <v>2171.2269999999999</v>
      </c>
    </row>
    <row r="4" spans="1:18" ht="18" customHeight="1" thickTop="1" thickBot="1">
      <c r="B4" s="260"/>
      <c r="C4" s="29" t="s">
        <v>16</v>
      </c>
      <c r="D4" s="34">
        <v>76.921000000000006</v>
      </c>
      <c r="E4" s="34">
        <v>55.859000000000002</v>
      </c>
      <c r="F4" s="34">
        <v>169.78200000000001</v>
      </c>
      <c r="G4" s="34">
        <v>157.352</v>
      </c>
      <c r="H4" s="34">
        <v>141.506</v>
      </c>
      <c r="I4" s="34">
        <v>80.903000000000006</v>
      </c>
      <c r="J4" s="147">
        <v>10.194000000000001</v>
      </c>
      <c r="K4" s="34">
        <v>0</v>
      </c>
      <c r="L4" s="34">
        <v>103.29300000000001</v>
      </c>
      <c r="M4" s="34">
        <v>149.447</v>
      </c>
      <c r="N4" s="34">
        <v>146.113</v>
      </c>
      <c r="O4" s="34">
        <v>139.54300000000001</v>
      </c>
      <c r="P4" s="34">
        <f>SUM(D4:O4)</f>
        <v>1230.913</v>
      </c>
    </row>
    <row r="5" spans="1:18" ht="18" customHeight="1" thickTop="1" thickBot="1">
      <c r="B5" s="260"/>
      <c r="C5" s="29" t="s">
        <v>8</v>
      </c>
      <c r="D5" s="34">
        <f>+D3+D4</f>
        <v>247.59199999999998</v>
      </c>
      <c r="E5" s="34">
        <f>+E3+E4</f>
        <v>219.93</v>
      </c>
      <c r="F5" s="34">
        <f t="shared" ref="F5:O5" si="0">+F3+F4</f>
        <v>348.28</v>
      </c>
      <c r="G5" s="34">
        <f>+G3+G4</f>
        <v>337.678</v>
      </c>
      <c r="H5" s="34">
        <f t="shared" si="0"/>
        <v>324.459</v>
      </c>
      <c r="I5" s="34">
        <f t="shared" si="0"/>
        <v>262.96800000000002</v>
      </c>
      <c r="J5" s="147">
        <f t="shared" si="0"/>
        <v>189.27199999999999</v>
      </c>
      <c r="K5" s="34">
        <f t="shared" si="0"/>
        <v>189.107</v>
      </c>
      <c r="L5" s="34">
        <f t="shared" si="0"/>
        <v>275.31100000000004</v>
      </c>
      <c r="M5" s="34">
        <f t="shared" si="0"/>
        <v>347.01300000000003</v>
      </c>
      <c r="N5" s="34">
        <f t="shared" si="0"/>
        <v>327.22199999999998</v>
      </c>
      <c r="O5" s="34">
        <f t="shared" si="0"/>
        <v>333.30799999999999</v>
      </c>
      <c r="P5" s="34">
        <f>+P3+P4</f>
        <v>3402.14</v>
      </c>
      <c r="R5" s="66">
        <f>+D5+E5+F5+G5+H5+I5+J5+K5+L5+M5+N5</f>
        <v>3068.8320000000003</v>
      </c>
    </row>
    <row r="6" spans="1:18" ht="18" customHeight="1" thickTop="1" thickBot="1">
      <c r="B6" s="260"/>
      <c r="C6" s="32" t="s">
        <v>156</v>
      </c>
      <c r="D6" s="35">
        <f>+(D5-'Hierro Primario 2016'!D5)/'Hierro Primario 2016'!D5</f>
        <v>-0.16738575564874392</v>
      </c>
      <c r="E6" s="35">
        <f>+(E5-'Hierro Primario 2016'!E5)/'Hierro Primario 2016'!E5</f>
        <v>-0.10799531142900022</v>
      </c>
      <c r="F6" s="35">
        <f>+(F5-'Hierro Primario 2016'!F5)/'Hierro Primario 2016'!F5</f>
        <v>0.30193263803222303</v>
      </c>
      <c r="G6" s="35">
        <f>+(G5-'Hierro Primario 2016'!G5)/'Hierro Primario 2016'!G5</f>
        <v>0.48395318892741473</v>
      </c>
      <c r="H6" s="35">
        <f>+(H5-'Hierro Primario 2016'!H5)/'Hierro Primario 2016'!H5</f>
        <v>0.31155486387614451</v>
      </c>
      <c r="I6" s="35">
        <f>+(I5-'Hierro Primario 2016'!I5)/'Hierro Primario 2016'!I5</f>
        <v>0.10405864398382766</v>
      </c>
      <c r="J6" s="148">
        <f>+(J5-'Hierro Primario 2016'!J5)/'Hierro Primario 2016'!J5</f>
        <v>-0.16189025470261081</v>
      </c>
      <c r="K6" s="35">
        <f>+(K5-'Hierro Primario 2016'!K5)/'Hierro Primario 2016'!K5</f>
        <v>3.2513977461343657E-2</v>
      </c>
      <c r="L6" s="35">
        <f>+(L5-'Hierro Primario 2016'!L5)/'Hierro Primario 2016'!L5</f>
        <v>0.53251097986607099</v>
      </c>
      <c r="M6" s="35">
        <f>+(M5-'Hierro Primario 2016'!M5)/'Hierro Primario 2016'!M5</f>
        <v>0.23524700454924091</v>
      </c>
      <c r="N6" s="35">
        <f>+(N5-'Hierro Primario 2016'!N5)/'Hierro Primario 2016'!N5</f>
        <v>0.20427060408217354</v>
      </c>
      <c r="O6" s="35">
        <f>+(O5-'Hierro Primario 2016'!O5)/'Hierro Primario 2016'!O5</f>
        <v>0.3451826022382849</v>
      </c>
      <c r="P6" s="35">
        <f>+(P5-'Hierro Primario 2016'!R5)/'Hierro Primario 2016'!R5</f>
        <v>0.16767212072724924</v>
      </c>
      <c r="R6" s="45">
        <f>+(R5-'Hierro Primario 2016'!S5)/'Hierro Primario 2016'!S5</f>
        <v>0.15117318058540882</v>
      </c>
    </row>
    <row r="7" spans="1:18" ht="18" customHeight="1" thickTop="1" thickBot="1">
      <c r="B7" s="260" t="s">
        <v>42</v>
      </c>
      <c r="C7" s="29" t="s">
        <v>15</v>
      </c>
      <c r="D7" s="34">
        <v>2286</v>
      </c>
      <c r="E7" s="34">
        <v>2068</v>
      </c>
      <c r="F7" s="34">
        <v>2360</v>
      </c>
      <c r="G7" s="34">
        <v>2408</v>
      </c>
      <c r="H7" s="34">
        <v>2488</v>
      </c>
      <c r="I7" s="34">
        <v>2275</v>
      </c>
      <c r="J7" s="147">
        <v>2336</v>
      </c>
      <c r="K7" s="34">
        <v>2444</v>
      </c>
      <c r="L7" s="34">
        <v>2422</v>
      </c>
      <c r="M7" s="34">
        <v>2488</v>
      </c>
      <c r="N7" s="34">
        <v>2440</v>
      </c>
      <c r="O7" s="34">
        <v>2411</v>
      </c>
      <c r="P7" s="34">
        <f>SUM(D7:O7)</f>
        <v>28426</v>
      </c>
    </row>
    <row r="8" spans="1:18" ht="18" customHeight="1" thickTop="1" thickBot="1">
      <c r="B8" s="260"/>
      <c r="C8" s="29" t="s">
        <v>16</v>
      </c>
      <c r="D8" s="34"/>
      <c r="E8" s="34"/>
      <c r="F8" s="34"/>
      <c r="G8" s="34"/>
      <c r="H8" s="34"/>
      <c r="I8" s="34"/>
      <c r="J8" s="147"/>
      <c r="K8" s="34"/>
      <c r="L8" s="34"/>
      <c r="M8" s="34"/>
      <c r="N8" s="30"/>
      <c r="O8" s="30"/>
      <c r="P8" s="34">
        <f>SUM(D8:E8)</f>
        <v>0</v>
      </c>
    </row>
    <row r="9" spans="1:18" ht="18" customHeight="1" thickTop="1" thickBot="1">
      <c r="B9" s="260"/>
      <c r="C9" s="29" t="s">
        <v>8</v>
      </c>
      <c r="D9" s="34">
        <f>+D7+D8</f>
        <v>2286</v>
      </c>
      <c r="E9" s="34">
        <f>+E7+E8</f>
        <v>2068</v>
      </c>
      <c r="F9" s="34">
        <f t="shared" ref="F9:O9" si="1">+F7+F8</f>
        <v>2360</v>
      </c>
      <c r="G9" s="34">
        <f t="shared" si="1"/>
        <v>2408</v>
      </c>
      <c r="H9" s="34">
        <f t="shared" si="1"/>
        <v>2488</v>
      </c>
      <c r="I9" s="34">
        <f t="shared" si="1"/>
        <v>2275</v>
      </c>
      <c r="J9" s="147">
        <f t="shared" si="1"/>
        <v>2336</v>
      </c>
      <c r="K9" s="34">
        <f t="shared" si="1"/>
        <v>2444</v>
      </c>
      <c r="L9" s="34">
        <f t="shared" si="1"/>
        <v>2422</v>
      </c>
      <c r="M9" s="34">
        <f t="shared" si="1"/>
        <v>2488</v>
      </c>
      <c r="N9" s="34">
        <f t="shared" si="1"/>
        <v>2440</v>
      </c>
      <c r="O9" s="34">
        <f t="shared" si="1"/>
        <v>2411</v>
      </c>
      <c r="P9" s="34">
        <f>+P7+P8</f>
        <v>28426</v>
      </c>
      <c r="R9" s="66">
        <f t="shared" ref="R9" si="2">+D9+E9+F9+G9+H9+I9+J9+K9+L9+M9+N9</f>
        <v>26015</v>
      </c>
    </row>
    <row r="10" spans="1:18" ht="18" customHeight="1" thickTop="1" thickBot="1">
      <c r="B10" s="260"/>
      <c r="C10" s="32" t="s">
        <v>156</v>
      </c>
      <c r="D10" s="35">
        <f>+(D9-'Hierro Primario 2016'!D9)/'Hierro Primario 2016'!D9</f>
        <v>8.9090042877560741E-2</v>
      </c>
      <c r="E10" s="35">
        <f>+(E9-'Hierro Primario 2016'!E9)/'Hierro Primario 2016'!E9</f>
        <v>8.0459770114942528E-2</v>
      </c>
      <c r="F10" s="35">
        <f>+(F9-'Hierro Primario 2016'!F9)/'Hierro Primario 2016'!F9</f>
        <v>0.13844669561022671</v>
      </c>
      <c r="G10" s="35">
        <f>+(G9-'Hierro Primario 2016'!G9)/'Hierro Primario 2016'!G9</f>
        <v>0.31441048034934499</v>
      </c>
      <c r="H10" s="35">
        <f>+(H9-'Hierro Primario 2016'!H9)/'Hierro Primario 2016'!H9</f>
        <v>0.19043062200956937</v>
      </c>
      <c r="I10" s="35">
        <f>+(I9-'Hierro Primario 2016'!I9)/'Hierro Primario 2016'!I9</f>
        <v>7.3113207547169809E-2</v>
      </c>
      <c r="J10" s="148">
        <f>+(J9-'Hierro Primario 2016'!J9)/'Hierro Primario 2016'!J9</f>
        <v>1.2858979854264896E-3</v>
      </c>
      <c r="K10" s="35">
        <f>+(K9-'Hierro Primario 2016'!K9)/'Hierro Primario 2016'!K9</f>
        <v>3.5593220338983052E-2</v>
      </c>
      <c r="L10" s="35">
        <f>+(L9-'Hierro Primario 2016'!L9)/'Hierro Primario 2016'!L9</f>
        <v>6.884377758164166E-2</v>
      </c>
      <c r="M10" s="35">
        <f>+(M9-'Hierro Primario 2016'!M9)/'Hierro Primario 2016'!M9</f>
        <v>1.0971149939049168E-2</v>
      </c>
      <c r="N10" s="35">
        <f>+(N9-'Hierro Primario 2016'!N9)/'Hierro Primario 2016'!N9</f>
        <v>6.1792863359442993E-2</v>
      </c>
      <c r="O10" s="35">
        <f>+(O9-'Hierro Primario 2016'!O9)/'Hierro Primario 2016'!O9</f>
        <v>0.10091324200913242</v>
      </c>
      <c r="P10" s="35">
        <f>+(P9-'Hierro Primario 2016'!R9)/'Hierro Primario 2016'!R9</f>
        <v>9.1795974804117372E-2</v>
      </c>
      <c r="R10" s="45">
        <f>+(R9-'Hierro Primario 2016'!S9)/'Hierro Primario 2016'!S9</f>
        <v>9.0958651346137717E-2</v>
      </c>
    </row>
    <row r="11" spans="1:18" ht="18" customHeight="1" thickTop="1" thickBot="1">
      <c r="B11" s="260" t="s">
        <v>1</v>
      </c>
      <c r="C11" s="29" t="s">
        <v>15</v>
      </c>
      <c r="D11" s="34">
        <v>57.920899999999989</v>
      </c>
      <c r="E11" s="34">
        <v>51.494499999999981</v>
      </c>
      <c r="F11" s="34">
        <v>57.267499999999998</v>
      </c>
      <c r="G11" s="34">
        <v>54.06280000000001</v>
      </c>
      <c r="H11" s="34">
        <v>56.224899999999984</v>
      </c>
      <c r="I11" s="34">
        <v>54.562999999999995</v>
      </c>
      <c r="J11" s="147">
        <v>57.972999999999963</v>
      </c>
      <c r="K11" s="34">
        <v>54.687000000000026</v>
      </c>
      <c r="L11" s="34">
        <v>56.338000000000001</v>
      </c>
      <c r="M11" s="34">
        <v>60.954999999999984</v>
      </c>
      <c r="N11" s="34">
        <v>53.79999999999999</v>
      </c>
      <c r="O11" s="34">
        <v>54.985700000000001</v>
      </c>
      <c r="P11" s="34">
        <f>SUM(D11:O11)</f>
        <v>670.27229999999986</v>
      </c>
    </row>
    <row r="12" spans="1:18" ht="18" customHeight="1" thickTop="1" thickBot="1">
      <c r="B12" s="260"/>
      <c r="C12" s="29" t="s">
        <v>16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>
        <f>SUM(D12:O12)</f>
        <v>0</v>
      </c>
    </row>
    <row r="13" spans="1:18" ht="18" customHeight="1" thickTop="1" thickBot="1">
      <c r="B13" s="260"/>
      <c r="C13" s="29" t="s">
        <v>8</v>
      </c>
      <c r="D13" s="34">
        <f>+D11+D12</f>
        <v>57.920899999999989</v>
      </c>
      <c r="E13" s="34">
        <f>+E11+E12</f>
        <v>51.494499999999981</v>
      </c>
      <c r="F13" s="34">
        <f t="shared" ref="F13:O13" si="3">+F11+F12</f>
        <v>57.267499999999998</v>
      </c>
      <c r="G13" s="34">
        <f t="shared" si="3"/>
        <v>54.06280000000001</v>
      </c>
      <c r="H13" s="34">
        <f t="shared" si="3"/>
        <v>56.224899999999984</v>
      </c>
      <c r="I13" s="34">
        <f t="shared" si="3"/>
        <v>54.562999999999995</v>
      </c>
      <c r="J13" s="34">
        <f t="shared" si="3"/>
        <v>57.972999999999963</v>
      </c>
      <c r="K13" s="34">
        <f t="shared" si="3"/>
        <v>54.687000000000026</v>
      </c>
      <c r="L13" s="34">
        <f t="shared" si="3"/>
        <v>56.338000000000001</v>
      </c>
      <c r="M13" s="34">
        <f t="shared" si="3"/>
        <v>60.954999999999984</v>
      </c>
      <c r="N13" s="34">
        <f t="shared" si="3"/>
        <v>53.79999999999999</v>
      </c>
      <c r="O13" s="34">
        <f t="shared" si="3"/>
        <v>54.985700000000001</v>
      </c>
      <c r="P13" s="34">
        <f>+P11+P12</f>
        <v>670.27229999999986</v>
      </c>
      <c r="R13" s="66">
        <f t="shared" ref="R13" si="4">+D13+E13+F13+G13+H13+I13+J13+K13+L13+M13+N13</f>
        <v>615.28659999999991</v>
      </c>
    </row>
    <row r="14" spans="1:18" ht="18" customHeight="1" thickTop="1" thickBot="1">
      <c r="B14" s="260"/>
      <c r="C14" s="32" t="s">
        <v>156</v>
      </c>
      <c r="D14" s="35">
        <f>+(D13-'Hierro Primario 2016'!D13)/'Hierro Primario 2016'!D13</f>
        <v>1.595116774685831E-2</v>
      </c>
      <c r="E14" s="35">
        <f>+(E13-'Hierro Primario 2016'!E13)/'Hierro Primario 2016'!E13</f>
        <v>-7.7242182600125303E-2</v>
      </c>
      <c r="F14" s="35">
        <f>+(F13-'Hierro Primario 2016'!F13)/'Hierro Primario 2016'!F13</f>
        <v>8.5324833136684024E-3</v>
      </c>
      <c r="G14" s="35">
        <f>+(G13-'Hierro Primario 2016'!G13)/'Hierro Primario 2016'!G13</f>
        <v>1.6409099454784963E-2</v>
      </c>
      <c r="H14" s="35">
        <f>+(H13-'Hierro Primario 2016'!H13)/'Hierro Primario 2016'!H13</f>
        <v>-6.8896020879288533E-2</v>
      </c>
      <c r="I14" s="35">
        <f>+(I13-'Hierro Primario 2016'!I13)/'Hierro Primario 2016'!I13</f>
        <v>-7.2956844480027748E-3</v>
      </c>
      <c r="J14" s="35">
        <f>+(J13-'Hierro Primario 2016'!J13)/'Hierro Primario 2016'!J13</f>
        <v>-1.6748501115153684E-2</v>
      </c>
      <c r="K14" s="35">
        <f>+(K13-'Hierro Primario 2016'!K13)/'Hierro Primario 2016'!K13</f>
        <v>-5.3825391882071506E-2</v>
      </c>
      <c r="L14" s="35">
        <f>+(L13-'Hierro Primario 2016'!L13)/'Hierro Primario 2016'!L13</f>
        <v>-1.9458368142577856E-2</v>
      </c>
      <c r="M14" s="35">
        <f>+(M13-'Hierro Primario 2016'!M13)/'Hierro Primario 2016'!M13</f>
        <v>0.10508606092250276</v>
      </c>
      <c r="N14" s="35">
        <f>+(N13-'Hierro Primario 2016'!N13)/'Hierro Primario 2016'!N13</f>
        <v>6.7185051474817431E-2</v>
      </c>
      <c r="O14" s="35">
        <f>+(O13-'Hierro Primario 2016'!O13)/'Hierro Primario 2016'!O13</f>
        <v>-7.3363218119616852E-2</v>
      </c>
      <c r="P14" s="35">
        <f>+(P13-'Hierro Primario 2016'!R13)/'Hierro Primario 2016'!R13</f>
        <v>-1.0323156205897707E-2</v>
      </c>
      <c r="R14" s="45">
        <f>+(R13-'Hierro Primario 2016'!S13)/'Hierro Primario 2016'!S13</f>
        <v>-4.2694515578592584E-3</v>
      </c>
    </row>
    <row r="15" spans="1:18" ht="18" customHeight="1" thickTop="1" thickBot="1">
      <c r="B15" s="260" t="s">
        <v>2</v>
      </c>
      <c r="C15" s="29" t="s">
        <v>15</v>
      </c>
      <c r="D15" s="30">
        <v>18</v>
      </c>
      <c r="E15" s="30">
        <v>13</v>
      </c>
      <c r="F15" s="30">
        <v>15</v>
      </c>
      <c r="G15" s="30">
        <v>18</v>
      </c>
      <c r="H15" s="30">
        <v>14</v>
      </c>
      <c r="I15" s="30">
        <v>15</v>
      </c>
      <c r="J15" s="30">
        <v>17</v>
      </c>
      <c r="K15" s="30">
        <v>19</v>
      </c>
      <c r="L15" s="30">
        <v>18</v>
      </c>
      <c r="M15" s="30">
        <v>18</v>
      </c>
      <c r="N15" s="30">
        <v>21</v>
      </c>
      <c r="O15" s="30">
        <v>17</v>
      </c>
      <c r="P15" s="34">
        <f>SUM(D15:O15)</f>
        <v>203</v>
      </c>
    </row>
    <row r="16" spans="1:18" ht="18" customHeight="1" thickTop="1" thickBot="1">
      <c r="B16" s="260"/>
      <c r="C16" s="29" t="s">
        <v>16</v>
      </c>
      <c r="D16" s="17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4">
        <f>SUM(D16:O16)</f>
        <v>0</v>
      </c>
    </row>
    <row r="17" spans="2:18" ht="18" customHeight="1" thickTop="1" thickBot="1">
      <c r="B17" s="260"/>
      <c r="C17" s="29" t="s">
        <v>8</v>
      </c>
      <c r="D17" s="30">
        <f>+D15+D16</f>
        <v>18</v>
      </c>
      <c r="E17" s="30">
        <f>+E15+E16</f>
        <v>13</v>
      </c>
      <c r="F17" s="30">
        <f t="shared" ref="F17:O17" si="5">+F15+F16</f>
        <v>15</v>
      </c>
      <c r="G17" s="30">
        <f t="shared" si="5"/>
        <v>18</v>
      </c>
      <c r="H17" s="30">
        <f t="shared" si="5"/>
        <v>14</v>
      </c>
      <c r="I17" s="30">
        <f t="shared" si="5"/>
        <v>15</v>
      </c>
      <c r="J17" s="30">
        <f t="shared" si="5"/>
        <v>17</v>
      </c>
      <c r="K17" s="30">
        <f t="shared" si="5"/>
        <v>19</v>
      </c>
      <c r="L17" s="30">
        <f t="shared" si="5"/>
        <v>18</v>
      </c>
      <c r="M17" s="30">
        <f t="shared" si="5"/>
        <v>18</v>
      </c>
      <c r="N17" s="30">
        <f t="shared" si="5"/>
        <v>21</v>
      </c>
      <c r="O17" s="30">
        <f t="shared" si="5"/>
        <v>17</v>
      </c>
      <c r="P17" s="34">
        <f>+P15+P16</f>
        <v>203</v>
      </c>
      <c r="R17" s="66">
        <f t="shared" ref="R17" si="6">+D17+E17+F17+G17+H17+I17+J17+K17+L17+M17+N17</f>
        <v>186</v>
      </c>
    </row>
    <row r="18" spans="2:18" ht="18" customHeight="1" thickTop="1" thickBot="1">
      <c r="B18" s="260"/>
      <c r="C18" s="32" t="s">
        <v>156</v>
      </c>
      <c r="D18" s="37">
        <f>+(D17-'Hierro Primario 2016'!D17)/'Hierro Primario 2016'!D17</f>
        <v>0.24826629680998613</v>
      </c>
      <c r="E18" s="37">
        <f>+(E17-'Hierro Primario 2016'!E17)/'Hierro Primario 2016'!E17</f>
        <v>7.8029790364502931</v>
      </c>
      <c r="F18" s="37">
        <f>+(F17-'Hierro Primario 2016'!F17)/'Hierro Primario 2016'!F17</f>
        <v>-0.48478888470625248</v>
      </c>
      <c r="G18" s="37">
        <f>+(G17-'Hierro Primario 2016'!G17)/'Hierro Primario 2016'!G17</f>
        <v>-0.28000000000000003</v>
      </c>
      <c r="H18" s="37">
        <f>+(H17-'Hierro Primario 2016'!H17)/'Hierro Primario 2016'!H17</f>
        <v>-0.20012628291977597</v>
      </c>
      <c r="I18" s="37">
        <f>+(I17-'Hierro Primario 2016'!I17)/'Hierro Primario 2016'!I17</f>
        <v>-0.17913710601862412</v>
      </c>
      <c r="J18" s="37">
        <f>+(J17-'Hierro Primario 2016'!J17)/'Hierro Primario 2016'!J17</f>
        <v>-0.24352402473315257</v>
      </c>
      <c r="K18" s="37">
        <f>+(K17-'Hierro Primario 2016'!K17)/'Hierro Primario 2016'!K17</f>
        <v>-8.7074369303122345E-2</v>
      </c>
      <c r="L18" s="37">
        <f>+(L17-'Hierro Primario 2016'!L17)/'Hierro Primario 2016'!L17</f>
        <v>-5.2631578947368418E-2</v>
      </c>
      <c r="M18" s="37">
        <f>+(M17-'Hierro Primario 2016'!M17)/'Hierro Primario 2016'!M17</f>
        <v>0</v>
      </c>
      <c r="N18" s="37">
        <f>+(N17-'Hierro Primario 2016'!N17)/'Hierro Primario 2016'!N17</f>
        <v>4.627481884282017E-2</v>
      </c>
      <c r="O18" s="37">
        <f>+(O17-'Hierro Primario 2016'!O17)/'Hierro Primario 2016'!O17</f>
        <v>-0.1063795323021296</v>
      </c>
      <c r="P18" s="35">
        <f>+(P17-'Hierro Primario 2016'!R17)/'Hierro Primario 2016'!R17</f>
        <v>-9.8447116464248391E-2</v>
      </c>
      <c r="R18" s="45">
        <f>+(R17-'Hierro Primario 2016'!S17)/'Hierro Primario 2016'!S17</f>
        <v>-9.7715081135247364E-2</v>
      </c>
    </row>
    <row r="19" spans="2:18" s="3" customFormat="1" ht="18" customHeight="1" thickTop="1" thickBot="1">
      <c r="B19" s="260" t="s">
        <v>43</v>
      </c>
      <c r="C19" s="29" t="s">
        <v>15</v>
      </c>
      <c r="D19" s="171">
        <v>380.50900000000001</v>
      </c>
      <c r="E19" s="171">
        <v>341.863</v>
      </c>
      <c r="F19" s="171">
        <v>345.11200000000002</v>
      </c>
      <c r="G19" s="171">
        <v>309.12200000000001</v>
      </c>
      <c r="H19" s="171">
        <v>340.02499999999998</v>
      </c>
      <c r="I19" s="171">
        <v>370.03100000000001</v>
      </c>
      <c r="J19" s="171">
        <v>360.31099999999998</v>
      </c>
      <c r="K19" s="171">
        <v>343.54599999999999</v>
      </c>
      <c r="L19" s="171">
        <v>370.964</v>
      </c>
      <c r="M19" s="171">
        <v>360.26799999999997</v>
      </c>
      <c r="N19" s="171">
        <v>358.601</v>
      </c>
      <c r="O19" s="171">
        <v>364.81599999999997</v>
      </c>
      <c r="P19" s="34">
        <f>SUM(D19:O19)</f>
        <v>4245.1680000000006</v>
      </c>
      <c r="R19" s="36"/>
    </row>
    <row r="20" spans="2:18" s="3" customFormat="1" ht="18" customHeight="1" thickTop="1" thickBot="1">
      <c r="B20" s="260"/>
      <c r="C20" s="29" t="s">
        <v>16</v>
      </c>
      <c r="D20" s="171">
        <v>444.68900000000002</v>
      </c>
      <c r="E20" s="171">
        <v>494.55599999999998</v>
      </c>
      <c r="F20" s="171">
        <v>557.78300000000002</v>
      </c>
      <c r="G20" s="171">
        <v>527.47900000000004</v>
      </c>
      <c r="H20" s="171">
        <v>552.32899999999995</v>
      </c>
      <c r="I20" s="171">
        <v>521.452</v>
      </c>
      <c r="J20" s="171">
        <v>509.34399999999999</v>
      </c>
      <c r="K20" s="171">
        <v>498.76799999999997</v>
      </c>
      <c r="L20" s="171">
        <v>474.91699999999997</v>
      </c>
      <c r="M20" s="171">
        <v>494.80500000000001</v>
      </c>
      <c r="N20" s="171">
        <v>482.48099999999999</v>
      </c>
      <c r="O20" s="171">
        <v>452.04399999999998</v>
      </c>
      <c r="P20" s="34">
        <f>SUM(D20:O20)</f>
        <v>6010.6470000000008</v>
      </c>
      <c r="R20" s="36"/>
    </row>
    <row r="21" spans="2:18" s="3" customFormat="1" ht="18" customHeight="1" thickTop="1" thickBot="1">
      <c r="B21" s="260"/>
      <c r="C21" s="29" t="s">
        <v>8</v>
      </c>
      <c r="D21" s="34">
        <f>+D19+D20</f>
        <v>825.19800000000009</v>
      </c>
      <c r="E21" s="34">
        <f>+E19+E20</f>
        <v>836.41899999999998</v>
      </c>
      <c r="F21" s="34">
        <f>+F19+F20</f>
        <v>902.89499999999998</v>
      </c>
      <c r="G21" s="34">
        <f t="shared" ref="G21:O21" si="7">+G19+G20</f>
        <v>836.60100000000011</v>
      </c>
      <c r="H21" s="34">
        <f t="shared" si="7"/>
        <v>892.35399999999993</v>
      </c>
      <c r="I21" s="34">
        <f t="shared" si="7"/>
        <v>891.48299999999995</v>
      </c>
      <c r="J21" s="34">
        <f t="shared" si="7"/>
        <v>869.65499999999997</v>
      </c>
      <c r="K21" s="34">
        <f t="shared" si="7"/>
        <v>842.31399999999996</v>
      </c>
      <c r="L21" s="34">
        <f t="shared" si="7"/>
        <v>845.88099999999997</v>
      </c>
      <c r="M21" s="34">
        <f t="shared" si="7"/>
        <v>855.07299999999998</v>
      </c>
      <c r="N21" s="34">
        <f t="shared" si="7"/>
        <v>841.08199999999999</v>
      </c>
      <c r="O21" s="171">
        <f t="shared" si="7"/>
        <v>816.8599999999999</v>
      </c>
      <c r="P21" s="34">
        <f>+P19+P20</f>
        <v>10255.815000000002</v>
      </c>
      <c r="R21" s="66">
        <f t="shared" ref="R21" si="8">+D21+E21+F21+G21+H21+I21+J21+K21+L21+M21+N21</f>
        <v>9438.9550000000017</v>
      </c>
    </row>
    <row r="22" spans="2:18" s="3" customFormat="1" ht="18" customHeight="1" thickTop="1" thickBot="1">
      <c r="B22" s="260"/>
      <c r="C22" s="32" t="s">
        <v>156</v>
      </c>
      <c r="D22" s="35">
        <f>+(D21-'Hierro Primario 2016'!D21)/'Hierro Primario 2016'!D21</f>
        <v>0.18036684150976326</v>
      </c>
      <c r="E22" s="35">
        <f>+(E21-'Hierro Primario 2016'!E21)/'Hierro Primario 2016'!E21</f>
        <v>0.12484803330894682</v>
      </c>
      <c r="F22" s="35">
        <f>+(F21-'Hierro Primario 2016'!F21)/'Hierro Primario 2016'!F21</f>
        <v>0.39495163450797899</v>
      </c>
      <c r="G22" s="35">
        <f>+(G21-'Hierro Primario 2016'!G21)/'Hierro Primario 2016'!G21</f>
        <v>4.6222049922465265E-2</v>
      </c>
      <c r="H22" s="35">
        <f>+(H21-'Hierro Primario 2016'!H21)/'Hierro Primario 2016'!H21</f>
        <v>1.389922522016853E-2</v>
      </c>
      <c r="I22" s="35">
        <f>+(I21-'Hierro Primario 2016'!I21)/'Hierro Primario 2016'!I21</f>
        <v>-3.8651995091262485E-2</v>
      </c>
      <c r="J22" s="35">
        <f>+(J21-'Hierro Primario 2016'!J21)/'Hierro Primario 2016'!J21</f>
        <v>4.484148152419945E-2</v>
      </c>
      <c r="K22" s="35">
        <f>+(K21-'Hierro Primario 2016'!K21)/'Hierro Primario 2016'!K21</f>
        <v>-1.3147658681063356E-2</v>
      </c>
      <c r="L22" s="35">
        <f>+(L21-'Hierro Primario 2016'!L21)/'Hierro Primario 2016'!L21</f>
        <v>-6.1332321310867072E-3</v>
      </c>
      <c r="M22" s="35">
        <f>+(M21-'Hierro Primario 2016'!M21)/'Hierro Primario 2016'!M21</f>
        <v>-2.1863768122573395E-2</v>
      </c>
      <c r="N22" s="35">
        <f>+(N21-'Hierro Primario 2016'!N21)/'Hierro Primario 2016'!N21</f>
        <v>-2.6636994140717605E-2</v>
      </c>
      <c r="O22" s="35">
        <f>+(O21-'Hierro Primario 2016'!O21)/'Hierro Primario 2016'!O21</f>
        <v>9.4299635826198235E-3</v>
      </c>
      <c r="P22" s="35">
        <f>+(P21-'Hierro Primario 2016'!R21)/'Hierro Primario 2016'!R21</f>
        <v>4.8489313926389797E-2</v>
      </c>
      <c r="R22" s="45">
        <f>+(R21-'Hierro Primario 2016'!S21)/'Hierro Primario 2016'!S21</f>
        <v>5.201215698962855E-2</v>
      </c>
    </row>
    <row r="23" spans="2:18" ht="18" customHeight="1" thickTop="1" thickBot="1">
      <c r="B23" s="260" t="s">
        <v>6</v>
      </c>
      <c r="C23" s="29" t="s">
        <v>15</v>
      </c>
      <c r="D23" s="30">
        <v>3</v>
      </c>
      <c r="E23" s="30">
        <v>2</v>
      </c>
      <c r="F23" s="30">
        <v>1.5</v>
      </c>
      <c r="G23" s="30">
        <v>3.2</v>
      </c>
      <c r="H23" s="30">
        <v>2</v>
      </c>
      <c r="I23" s="30">
        <v>3</v>
      </c>
      <c r="J23" s="30">
        <v>3</v>
      </c>
      <c r="K23" s="30">
        <v>4</v>
      </c>
      <c r="L23" s="30">
        <v>4</v>
      </c>
      <c r="M23" s="30">
        <v>4</v>
      </c>
      <c r="N23" s="30">
        <v>4</v>
      </c>
      <c r="O23" s="30">
        <v>4</v>
      </c>
      <c r="P23" s="34">
        <f>SUM(D23:O23)</f>
        <v>37.700000000000003</v>
      </c>
    </row>
    <row r="24" spans="2:18" ht="18" customHeight="1" thickTop="1" thickBot="1">
      <c r="B24" s="260"/>
      <c r="C24" s="29" t="s">
        <v>16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4">
        <f>SUM(D24:O24)</f>
        <v>0</v>
      </c>
    </row>
    <row r="25" spans="2:18" ht="18" customHeight="1" thickTop="1" thickBot="1">
      <c r="B25" s="260"/>
      <c r="C25" s="29" t="s">
        <v>8</v>
      </c>
      <c r="D25" s="30">
        <f>+D23+D24</f>
        <v>3</v>
      </c>
      <c r="E25" s="30">
        <f>+E23+E24</f>
        <v>2</v>
      </c>
      <c r="F25" s="30">
        <f t="shared" ref="F25:P25" si="9">+F23+F24</f>
        <v>1.5</v>
      </c>
      <c r="G25" s="30">
        <f t="shared" si="9"/>
        <v>3.2</v>
      </c>
      <c r="H25" s="30">
        <f t="shared" si="9"/>
        <v>2</v>
      </c>
      <c r="I25" s="30">
        <f t="shared" si="9"/>
        <v>3</v>
      </c>
      <c r="J25" s="30">
        <f t="shared" si="9"/>
        <v>3</v>
      </c>
      <c r="K25" s="30">
        <f t="shared" si="9"/>
        <v>4</v>
      </c>
      <c r="L25" s="30">
        <f t="shared" si="9"/>
        <v>4</v>
      </c>
      <c r="M25" s="30">
        <f t="shared" si="9"/>
        <v>4</v>
      </c>
      <c r="N25" s="30">
        <f t="shared" si="9"/>
        <v>4</v>
      </c>
      <c r="O25" s="30">
        <f t="shared" si="9"/>
        <v>4</v>
      </c>
      <c r="P25" s="34">
        <f t="shared" si="9"/>
        <v>37.700000000000003</v>
      </c>
      <c r="R25" s="66">
        <f t="shared" ref="R25" si="10">+D25+E25+F25+G25+H25+I25+J25+K25+L25+M25+N25</f>
        <v>33.700000000000003</v>
      </c>
    </row>
    <row r="26" spans="2:18" ht="18" customHeight="1" thickTop="1" thickBot="1">
      <c r="B26" s="260"/>
      <c r="C26" s="32" t="s">
        <v>156</v>
      </c>
      <c r="D26" s="37">
        <f>+(D25-'Hierro Primario 2016'!D25)/'Hierro Primario 2016'!D25</f>
        <v>0.94174757281553412</v>
      </c>
      <c r="E26" s="37">
        <f>+(E25-'Hierro Primario 2016'!E25)/'Hierro Primario 2016'!E25</f>
        <v>-0.61653558570751466</v>
      </c>
      <c r="F26" s="37">
        <f>+(F25-'Hierro Primario 2016'!F25)/'Hierro Primario 2016'!F25</f>
        <v>-0.72611373368813537</v>
      </c>
      <c r="G26" s="37">
        <f>+(G25-'Hierro Primario 2016'!G25)/'Hierro Primario 2016'!G25</f>
        <v>-0.36</v>
      </c>
      <c r="H26" s="37">
        <f>+(H25-'Hierro Primario 2016'!H25)/'Hierro Primario 2016'!H25</f>
        <v>-0.53589109884665376</v>
      </c>
      <c r="I26" s="37">
        <f>+(I25-'Hierro Primario 2016'!I25)/'Hierro Primario 2016'!I25</f>
        <v>-0.40005000939392016</v>
      </c>
      <c r="J26" s="37">
        <f>+(J25-'Hierro Primario 2016'!J25)/'Hierro Primario 2016'!J25</f>
        <v>-0.39352515547541161</v>
      </c>
      <c r="K26" s="35">
        <f>+(K25-'Hierro Primario 2016'!K25)/'Hierro Primario 2016'!K25</f>
        <v>-0.16910608558537205</v>
      </c>
      <c r="L26" s="35">
        <f>+(L25-'Hierro Primario 2016'!L25)/'Hierro Primario 2016'!L25</f>
        <v>0.33333333333333331</v>
      </c>
      <c r="M26" s="35">
        <f>+(M25-'Hierro Primario 2016'!M25)/'Hierro Primario 2016'!M25</f>
        <v>-9.9156320087428293E-2</v>
      </c>
      <c r="N26" s="35">
        <f>+(N25-'Hierro Primario 2016'!N25)/'Hierro Primario 2016'!N25</f>
        <v>0.33333333333333331</v>
      </c>
      <c r="O26" s="35">
        <f>+(O25-'Hierro Primario 2016'!O25)/'Hierro Primario 2016'!O25</f>
        <v>0.14939423765651508</v>
      </c>
      <c r="P26" s="35">
        <f>+(P25-'Hierro Primario 2016'!R25)/'Hierro Primario 2016'!R25</f>
        <v>-0.24942519194133692</v>
      </c>
      <c r="R26" s="45">
        <f>+(R25-'Hierro Primario 2016'!S25)/'Hierro Primario 2016'!S25</f>
        <v>-0.2791147361786469</v>
      </c>
    </row>
    <row r="27" spans="2:18" s="3" customFormat="1" ht="18" hidden="1" customHeight="1" thickTop="1" thickBot="1">
      <c r="B27" s="261" t="s">
        <v>171</v>
      </c>
      <c r="C27" s="29" t="s">
        <v>15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>
        <f>SUM(D27:O27)</f>
        <v>0</v>
      </c>
      <c r="R27" s="36"/>
    </row>
    <row r="28" spans="2:18" s="3" customFormat="1" ht="18" hidden="1" customHeight="1" thickTop="1" thickBot="1">
      <c r="B28" s="261"/>
      <c r="C28" s="29" t="s">
        <v>16</v>
      </c>
      <c r="D28" s="34"/>
      <c r="E28" s="34"/>
      <c r="F28" s="34"/>
      <c r="G28" s="34"/>
      <c r="H28" s="34"/>
      <c r="I28" s="34"/>
      <c r="J28" s="30"/>
      <c r="K28" s="30"/>
      <c r="L28" s="30"/>
      <c r="M28" s="30"/>
      <c r="N28" s="30"/>
      <c r="O28" s="30"/>
      <c r="P28" s="34">
        <f>SUM(D28:O28)</f>
        <v>0</v>
      </c>
      <c r="R28" s="36"/>
    </row>
    <row r="29" spans="2:18" s="3" customFormat="1" ht="18" hidden="1" customHeight="1" thickTop="1" thickBot="1">
      <c r="B29" s="261"/>
      <c r="C29" s="29" t="s">
        <v>8</v>
      </c>
      <c r="D29" s="34">
        <f>+D27+D28</f>
        <v>0</v>
      </c>
      <c r="E29" s="34">
        <f>+E27+E28</f>
        <v>0</v>
      </c>
      <c r="F29" s="34">
        <f t="shared" ref="F29:P29" si="11">+F27+F28</f>
        <v>0</v>
      </c>
      <c r="G29" s="34">
        <f t="shared" si="11"/>
        <v>0</v>
      </c>
      <c r="H29" s="34">
        <f t="shared" si="11"/>
        <v>0</v>
      </c>
      <c r="I29" s="34">
        <f t="shared" si="11"/>
        <v>0</v>
      </c>
      <c r="J29" s="30">
        <f t="shared" si="11"/>
        <v>0</v>
      </c>
      <c r="K29" s="30">
        <f t="shared" si="11"/>
        <v>0</v>
      </c>
      <c r="L29" s="30">
        <f t="shared" si="11"/>
        <v>0</v>
      </c>
      <c r="M29" s="34">
        <f t="shared" si="11"/>
        <v>0</v>
      </c>
      <c r="N29" s="34">
        <f t="shared" si="11"/>
        <v>0</v>
      </c>
      <c r="O29" s="34">
        <f t="shared" si="11"/>
        <v>0</v>
      </c>
      <c r="P29" s="34">
        <f t="shared" si="11"/>
        <v>0</v>
      </c>
      <c r="R29" s="66">
        <f t="shared" ref="R29" si="12">+D29+E29+F29+G29+H29+I29+J29+K29+L29+M29+N29</f>
        <v>0</v>
      </c>
    </row>
    <row r="30" spans="2:18" s="3" customFormat="1" ht="18" hidden="1" customHeight="1" thickTop="1" thickBot="1">
      <c r="B30" s="261"/>
      <c r="C30" s="32" t="s">
        <v>156</v>
      </c>
      <c r="D30" s="35">
        <f>+(D29-'Hierro Primario 2016'!D33)/'Hierro Primario 2016'!D33</f>
        <v>-1</v>
      </c>
      <c r="E30" s="35" t="e">
        <f>+(E29-'Hierro Primario 2016'!E33)/'Hierro Primario 2016'!E33</f>
        <v>#DIV/0!</v>
      </c>
      <c r="F30" s="35" t="e">
        <f>+(F29-'Hierro Primario 2016'!F33)/'Hierro Primario 2016'!F33</f>
        <v>#DIV/0!</v>
      </c>
      <c r="G30" s="35" t="e">
        <f>+(G29-'Hierro Primario 2016'!G33)/'Hierro Primario 2016'!G33</f>
        <v>#DIV/0!</v>
      </c>
      <c r="H30" s="35" t="e">
        <f>+(H29-'Hierro Primario 2016'!H33)/'Hierro Primario 2016'!H33</f>
        <v>#DIV/0!</v>
      </c>
      <c r="I30" s="35" t="e">
        <f>+(I29-'Hierro Primario 2016'!I33)/'Hierro Primario 2016'!I33</f>
        <v>#DIV/0!</v>
      </c>
      <c r="J30" s="37" t="e">
        <f>+(J29-'Hierro Primario 2016'!J33)/'Hierro Primario 2016'!J33</f>
        <v>#DIV/0!</v>
      </c>
      <c r="K30" s="37" t="e">
        <f>+(K29-'Hierro Primario 2016'!K33)/'Hierro Primario 2016'!K33</f>
        <v>#DIV/0!</v>
      </c>
      <c r="L30" s="37" t="e">
        <f>+(L29-'Hierro Primario 2016'!L33)/'Hierro Primario 2016'!L33</f>
        <v>#DIV/0!</v>
      </c>
      <c r="M30" s="35" t="e">
        <f>+(M29-'Hierro Primario 2016'!M33)/'Hierro Primario 2016'!M33</f>
        <v>#DIV/0!</v>
      </c>
      <c r="N30" s="35" t="e">
        <f>+(N29-'Hierro Primario 2016'!N33)/'Hierro Primario 2016'!N33</f>
        <v>#DIV/0!</v>
      </c>
      <c r="O30" s="35" t="e">
        <f>+(O29-'Hierro Primario 2016'!O33)/'Hierro Primario 2016'!O33</f>
        <v>#DIV/0!</v>
      </c>
      <c r="P30" s="35">
        <f>+(P29-'Hierro Primario 2016'!R33)/'Hierro Primario 2016'!R33</f>
        <v>-1</v>
      </c>
      <c r="R30" s="45">
        <f>+(R29-'Hierro Primario 2016'!S33)/'Hierro Primario 2016'!S33</f>
        <v>-1</v>
      </c>
    </row>
    <row r="31" spans="2:18" s="3" customFormat="1" ht="18" customHeight="1" thickTop="1" thickBot="1">
      <c r="B31" s="261" t="s">
        <v>3</v>
      </c>
      <c r="C31" s="29" t="s">
        <v>15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>
        <f>SUM(D31:O31)</f>
        <v>0</v>
      </c>
      <c r="R31" s="36"/>
    </row>
    <row r="32" spans="2:18" s="3" customFormat="1" ht="18" customHeight="1" thickTop="1" thickBot="1">
      <c r="B32" s="261"/>
      <c r="C32" s="29" t="s">
        <v>16</v>
      </c>
      <c r="D32" s="34">
        <v>33.78</v>
      </c>
      <c r="E32" s="34">
        <v>39.844999999999999</v>
      </c>
      <c r="F32" s="34">
        <v>74.466999999999999</v>
      </c>
      <c r="G32" s="34">
        <v>70.978999999999999</v>
      </c>
      <c r="H32" s="34">
        <v>56.973999999999997</v>
      </c>
      <c r="I32" s="34">
        <v>43.5</v>
      </c>
      <c r="J32" s="34">
        <v>0</v>
      </c>
      <c r="K32" s="34">
        <v>18.834</v>
      </c>
      <c r="L32" s="34">
        <v>28.271999999999998</v>
      </c>
      <c r="M32" s="34">
        <v>66.912000000000006</v>
      </c>
      <c r="N32" s="171">
        <v>38.192999999999998</v>
      </c>
      <c r="O32" s="171">
        <v>19.518000000000001</v>
      </c>
      <c r="P32" s="34">
        <f>SUM(D32:O32)</f>
        <v>491.274</v>
      </c>
      <c r="R32" s="36"/>
    </row>
    <row r="33" spans="2:18" s="3" customFormat="1" ht="18" customHeight="1" thickTop="1" thickBot="1">
      <c r="B33" s="261"/>
      <c r="C33" s="29" t="s">
        <v>8</v>
      </c>
      <c r="D33" s="34">
        <f>+D31+D32</f>
        <v>33.78</v>
      </c>
      <c r="E33" s="34">
        <f>+E31+E32</f>
        <v>39.844999999999999</v>
      </c>
      <c r="F33" s="34">
        <f t="shared" ref="F33:P33" si="13">+F31+F32</f>
        <v>74.466999999999999</v>
      </c>
      <c r="G33" s="34">
        <f t="shared" si="13"/>
        <v>70.978999999999999</v>
      </c>
      <c r="H33" s="34">
        <f t="shared" si="13"/>
        <v>56.973999999999997</v>
      </c>
      <c r="I33" s="34">
        <f t="shared" si="13"/>
        <v>43.5</v>
      </c>
      <c r="J33" s="34">
        <f t="shared" si="13"/>
        <v>0</v>
      </c>
      <c r="K33" s="34">
        <f t="shared" si="13"/>
        <v>18.834</v>
      </c>
      <c r="L33" s="34">
        <f t="shared" si="13"/>
        <v>28.271999999999998</v>
      </c>
      <c r="M33" s="34">
        <f t="shared" si="13"/>
        <v>66.912000000000006</v>
      </c>
      <c r="N33" s="171">
        <f t="shared" si="13"/>
        <v>38.192999999999998</v>
      </c>
      <c r="O33" s="34">
        <f t="shared" si="13"/>
        <v>19.518000000000001</v>
      </c>
      <c r="P33" s="34">
        <f t="shared" si="13"/>
        <v>491.274</v>
      </c>
      <c r="R33" s="66">
        <f t="shared" ref="R33" si="14">+D33+E33+F33+G33+H33+I33+J33+K33+L33+M33+N33</f>
        <v>471.75599999999997</v>
      </c>
    </row>
    <row r="34" spans="2:18" s="3" customFormat="1" ht="18" customHeight="1" thickTop="1" thickBot="1">
      <c r="B34" s="261"/>
      <c r="C34" s="32" t="s">
        <v>156</v>
      </c>
      <c r="D34" s="35">
        <f>+(D33-'Hierro Primario 2016'!D37)/'Hierro Primario 2016'!D37</f>
        <v>-0.40132919805050948</v>
      </c>
      <c r="E34" s="35">
        <f>+(E33-'Hierro Primario 2016'!E37)/'Hierro Primario 2016'!E37</f>
        <v>0.78797397352479237</v>
      </c>
      <c r="F34" s="35">
        <f>+(F33-'Hierro Primario 2016'!F37)/'Hierro Primario 2016'!F37</f>
        <v>5.0571823653814869</v>
      </c>
      <c r="G34" s="35">
        <f>+(G33-'Hierro Primario 2016'!G37)/'Hierro Primario 2016'!G37</f>
        <v>1.1881435353597631</v>
      </c>
      <c r="H34" s="35">
        <f>+(H33-'Hierro Primario 2016'!H37)/'Hierro Primario 2016'!H37</f>
        <v>0.25239602567484393</v>
      </c>
      <c r="I34" s="35">
        <f>+(I33-'Hierro Primario 2016'!I37)/'Hierro Primario 2016'!I37</f>
        <v>-0.18054404340290864</v>
      </c>
      <c r="J34" s="35">
        <f>+(J33-'Hierro Primario 2016'!J37)/'Hierro Primario 2016'!J37</f>
        <v>-1</v>
      </c>
      <c r="K34" s="35">
        <f>+(K33-'Hierro Primario 2016'!K37)/'Hierro Primario 2016'!K37</f>
        <v>-0.7412734391098289</v>
      </c>
      <c r="L34" s="35">
        <f>+(L33-'Hierro Primario 2016'!L37)/'Hierro Primario 2016'!L37</f>
        <v>-0.68982654774051277</v>
      </c>
      <c r="M34" s="35">
        <f>+(M33-'Hierro Primario 2016'!M37)/'Hierro Primario 2016'!M37</f>
        <v>-0.18995678123070578</v>
      </c>
      <c r="N34" s="35">
        <f>+(N33-'Hierro Primario 2016'!N37)/'Hierro Primario 2016'!N37</f>
        <v>-0.60421966725561005</v>
      </c>
      <c r="O34" s="35">
        <f>+(O33-'Hierro Primario 2016'!O37)/'Hierro Primario 2016'!O37</f>
        <v>-0.71780524831923664</v>
      </c>
      <c r="P34" s="35">
        <f>+(P33-'Hierro Primario 2016'!R37)/'Hierro Primario 2016'!R37</f>
        <v>-0.28870710280847428</v>
      </c>
      <c r="R34" s="45">
        <f>+(R33-'Hierro Primario 2016'!S37)/'Hierro Primario 2016'!S37</f>
        <v>-0.24095492850103589</v>
      </c>
    </row>
    <row r="35" spans="2:18" s="3" customFormat="1" ht="18" customHeight="1" thickTop="1" thickBot="1">
      <c r="B35" s="261" t="s">
        <v>63</v>
      </c>
      <c r="C35" s="29" t="s">
        <v>15</v>
      </c>
      <c r="D35" s="34">
        <f t="shared" ref="D35:O35" si="15">+D3+D7+D11+D15+D19+D23+D31</f>
        <v>2916.1008999999999</v>
      </c>
      <c r="E35" s="34">
        <f t="shared" si="15"/>
        <v>2640.4284999999995</v>
      </c>
      <c r="F35" s="34">
        <f t="shared" si="15"/>
        <v>2957.3775000000001</v>
      </c>
      <c r="G35" s="34">
        <f t="shared" si="15"/>
        <v>2972.7107999999998</v>
      </c>
      <c r="H35" s="34">
        <f t="shared" si="15"/>
        <v>3083.2029000000002</v>
      </c>
      <c r="I35" s="34">
        <f t="shared" si="15"/>
        <v>2899.6590000000001</v>
      </c>
      <c r="J35" s="34">
        <f t="shared" si="15"/>
        <v>2953.3620000000001</v>
      </c>
      <c r="K35" s="34">
        <f t="shared" si="15"/>
        <v>3054.3399999999997</v>
      </c>
      <c r="L35" s="34">
        <f t="shared" si="15"/>
        <v>3043.32</v>
      </c>
      <c r="M35" s="34">
        <f t="shared" si="15"/>
        <v>3128.7889999999998</v>
      </c>
      <c r="N35" s="34">
        <f t="shared" si="15"/>
        <v>3058.51</v>
      </c>
      <c r="O35" s="34">
        <f t="shared" si="15"/>
        <v>3045.5666999999999</v>
      </c>
      <c r="P35" s="34">
        <f>SUM(D35:O35)</f>
        <v>35753.367300000005</v>
      </c>
      <c r="R35" s="36"/>
    </row>
    <row r="36" spans="2:18" s="3" customFormat="1" ht="18" customHeight="1" thickTop="1" thickBot="1">
      <c r="B36" s="261"/>
      <c r="C36" s="29" t="s">
        <v>16</v>
      </c>
      <c r="D36" s="34">
        <f t="shared" ref="D36:O36" si="16">+D4+D8+D12+D16+D20+D24+D32</f>
        <v>555.39</v>
      </c>
      <c r="E36" s="34">
        <f t="shared" si="16"/>
        <v>590.26</v>
      </c>
      <c r="F36" s="34">
        <f t="shared" si="16"/>
        <v>802.03200000000004</v>
      </c>
      <c r="G36" s="34">
        <f t="shared" si="16"/>
        <v>755.81000000000006</v>
      </c>
      <c r="H36" s="34">
        <f t="shared" si="16"/>
        <v>750.80899999999997</v>
      </c>
      <c r="I36" s="34">
        <f t="shared" si="16"/>
        <v>645.85500000000002</v>
      </c>
      <c r="J36" s="34">
        <f t="shared" si="16"/>
        <v>519.53800000000001</v>
      </c>
      <c r="K36" s="34">
        <f t="shared" si="16"/>
        <v>517.60199999999998</v>
      </c>
      <c r="L36" s="34">
        <f t="shared" si="16"/>
        <v>606.48200000000008</v>
      </c>
      <c r="M36" s="34">
        <f t="shared" si="16"/>
        <v>711.16399999999999</v>
      </c>
      <c r="N36" s="34">
        <f t="shared" si="16"/>
        <v>666.78700000000003</v>
      </c>
      <c r="O36" s="34">
        <f t="shared" si="16"/>
        <v>611.10500000000002</v>
      </c>
      <c r="P36" s="34">
        <f>SUM(D36:O36)</f>
        <v>7732.8340000000007</v>
      </c>
      <c r="R36" s="36"/>
    </row>
    <row r="37" spans="2:18" s="3" customFormat="1" ht="18" customHeight="1" thickTop="1" thickBot="1">
      <c r="B37" s="261"/>
      <c r="C37" s="29" t="s">
        <v>8</v>
      </c>
      <c r="D37" s="34">
        <f>+D35+D36</f>
        <v>3471.4908999999998</v>
      </c>
      <c r="E37" s="34">
        <f>+E35+E36</f>
        <v>3230.6884999999993</v>
      </c>
      <c r="F37" s="34">
        <f t="shared" ref="F37:N37" si="17">+F35+F36</f>
        <v>3759.4095000000002</v>
      </c>
      <c r="G37" s="34">
        <f t="shared" si="17"/>
        <v>3728.5207999999998</v>
      </c>
      <c r="H37" s="34">
        <f t="shared" si="17"/>
        <v>3834.0119000000004</v>
      </c>
      <c r="I37" s="34">
        <f t="shared" si="17"/>
        <v>3545.5140000000001</v>
      </c>
      <c r="J37" s="34">
        <f t="shared" si="17"/>
        <v>3472.9</v>
      </c>
      <c r="K37" s="34">
        <f t="shared" si="17"/>
        <v>3571.9419999999996</v>
      </c>
      <c r="L37" s="34">
        <f t="shared" si="17"/>
        <v>3649.8020000000001</v>
      </c>
      <c r="M37" s="34">
        <f t="shared" si="17"/>
        <v>3839.9529999999995</v>
      </c>
      <c r="N37" s="34">
        <f t="shared" si="17"/>
        <v>3725.2970000000005</v>
      </c>
      <c r="O37" s="34">
        <f>+O35+O36</f>
        <v>3656.6716999999999</v>
      </c>
      <c r="P37" s="34">
        <f>SUM(D37:O37)</f>
        <v>43486.201299999993</v>
      </c>
      <c r="R37" s="66">
        <f t="shared" ref="R37" si="18">+D37+E37+F37+G37+H37+I37+J37+K37+L37+M37+N37</f>
        <v>39829.529599999994</v>
      </c>
    </row>
    <row r="38" spans="2:18" s="3" customFormat="1" ht="18" customHeight="1" thickTop="1" thickBot="1">
      <c r="B38" s="261"/>
      <c r="C38" s="32" t="s">
        <v>156</v>
      </c>
      <c r="D38" s="35">
        <f>+(D37-'Hierro Primario 2016'!D41)/'Hierro Primario 2016'!D41</f>
        <v>3.4094188160953269E-2</v>
      </c>
      <c r="E38" s="35">
        <f>+(E37-'Hierro Primario 2016'!E41)/'Hierro Primario 2016'!E41</f>
        <v>7.9898146501669431E-2</v>
      </c>
      <c r="F38" s="35">
        <f>+(F37-'Hierro Primario 2016'!F41)/'Hierro Primario 2016'!F41</f>
        <v>0.2145514142701051</v>
      </c>
      <c r="G38" s="35">
        <f>+(G37-'Hierro Primario 2016'!G41)/'Hierro Primario 2016'!G41</f>
        <v>0.25302990586112939</v>
      </c>
      <c r="H38" s="35">
        <f>+(H37-'Hierro Primario 2016'!H41)/'Hierro Primario 2016'!H41</f>
        <v>0.14612498237161078</v>
      </c>
      <c r="I38" s="35">
        <f>+(I37-'Hierro Primario 2016'!I41)/'Hierro Primario 2016'!I41</f>
        <v>3.7661545013054305E-2</v>
      </c>
      <c r="J38" s="35">
        <f>+(J37-'Hierro Primario 2016'!J41)/'Hierro Primario 2016'!J41</f>
        <v>-1.7286616535341977E-2</v>
      </c>
      <c r="K38" s="35">
        <f>+(K37-'Hierro Primario 2016'!K41)/'Hierro Primario 2016'!K41</f>
        <v>5.3574990871978877E-3</v>
      </c>
      <c r="L38" s="35">
        <f>+(L37-'Hierro Primario 2016'!L41)/'Hierro Primario 2016'!L41</f>
        <v>5.2619101660546265E-2</v>
      </c>
      <c r="M38" s="35">
        <f>+(M37-'Hierro Primario 2016'!M41)/'Hierro Primario 2016'!M41</f>
        <v>1.6852179125541333E-2</v>
      </c>
      <c r="N38" s="35">
        <f>+(N37-'Hierro Primario 2016'!N41)/'Hierro Primario 2016'!N41</f>
        <v>4.2943094442393505E-2</v>
      </c>
      <c r="O38" s="35">
        <f>+(O37-'Hierro Primario 2016'!O41)/'Hierro Primario 2016'!O41</f>
        <v>7.6119677707377459E-2</v>
      </c>
      <c r="P38" s="35">
        <f>+(P37-'Hierro Primario 2016'!R41)/'Hierro Primario 2016'!R41</f>
        <v>7.4207554657944028E-2</v>
      </c>
      <c r="R38" s="45">
        <f>+(R37-'Hierro Primario 2016'!S41)/'Hierro Primario 2016'!S41</f>
        <v>7.403234686519479E-2</v>
      </c>
    </row>
    <row r="39" spans="2:18" s="3" customFormat="1" ht="18" customHeight="1" thickTop="1">
      <c r="B39" s="28"/>
      <c r="C39" s="2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2"/>
      <c r="R39" s="36"/>
    </row>
    <row r="40" spans="2:18" s="3" customFormat="1" ht="18" customHeight="1">
      <c r="B40" s="25" t="s">
        <v>19</v>
      </c>
      <c r="C40" s="25" t="s">
        <v>19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2"/>
      <c r="R40" s="36"/>
    </row>
    <row r="41" spans="2:18" s="3" customFormat="1" ht="18" customHeight="1">
      <c r="B41" s="26" t="s">
        <v>12</v>
      </c>
      <c r="C41" s="26" t="s">
        <v>12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2"/>
      <c r="R41" s="66"/>
    </row>
    <row r="42" spans="2:18" s="3" customFormat="1" ht="18" customHeight="1">
      <c r="B42" s="2"/>
      <c r="C42" s="2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2"/>
      <c r="R42" s="45"/>
    </row>
    <row r="45" spans="2:18">
      <c r="R45" s="66"/>
    </row>
    <row r="46" spans="2:18">
      <c r="R46" s="45"/>
    </row>
    <row r="49" spans="18:18">
      <c r="R49" s="66"/>
    </row>
    <row r="50" spans="18:18">
      <c r="R50" s="45"/>
    </row>
    <row r="53" spans="18:18">
      <c r="R53" s="66"/>
    </row>
    <row r="54" spans="18:18">
      <c r="R54" s="45"/>
    </row>
    <row r="57" spans="18:18">
      <c r="R57" s="66"/>
    </row>
    <row r="58" spans="18:18">
      <c r="R58" s="45"/>
    </row>
    <row r="62" spans="18:18">
      <c r="R62" s="58"/>
    </row>
  </sheetData>
  <mergeCells count="9">
    <mergeCell ref="B31:B34"/>
    <mergeCell ref="B35:B38"/>
    <mergeCell ref="B3:B6"/>
    <mergeCell ref="B7:B10"/>
    <mergeCell ref="B11:B14"/>
    <mergeCell ref="B15:B18"/>
    <mergeCell ref="B19:B22"/>
    <mergeCell ref="B23:B26"/>
    <mergeCell ref="B27:B30"/>
  </mergeCells>
  <hyperlinks>
    <hyperlink ref="P1" location="Índice!A1" display="Índice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61"/>
  <sheetViews>
    <sheetView zoomScale="70" zoomScaleNormal="70" zoomScaleSheetLayoutView="90" workbookViewId="0">
      <pane xSplit="3" ySplit="2" topLeftCell="D18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36" customWidth="1"/>
    <col min="17" max="17" width="2.7109375" style="2" customWidth="1"/>
    <col min="18" max="18" width="11.42578125" style="2"/>
    <col min="19" max="19" width="11.42578125" style="36"/>
    <col min="20" max="16384" width="11.42578125" style="2"/>
  </cols>
  <sheetData>
    <row r="1" spans="1:19" s="8" customFormat="1" ht="38.25" customHeight="1" thickBot="1">
      <c r="A1" s="38" t="s">
        <v>41</v>
      </c>
      <c r="B1" s="22" t="s">
        <v>84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87" t="s">
        <v>111</v>
      </c>
      <c r="S1" s="38"/>
    </row>
    <row r="2" spans="1:19" ht="30" customHeight="1" thickTop="1">
      <c r="B2" s="33" t="s">
        <v>36</v>
      </c>
      <c r="C2" s="21" t="s">
        <v>23</v>
      </c>
      <c r="D2" s="74" t="s">
        <v>27</v>
      </c>
      <c r="E2" s="74" t="s">
        <v>28</v>
      </c>
      <c r="F2" s="74" t="s">
        <v>26</v>
      </c>
      <c r="G2" s="74" t="s">
        <v>22</v>
      </c>
      <c r="H2" s="74" t="s">
        <v>29</v>
      </c>
      <c r="I2" s="74" t="s">
        <v>30</v>
      </c>
      <c r="J2" s="74" t="s">
        <v>31</v>
      </c>
      <c r="K2" s="74" t="s">
        <v>32</v>
      </c>
      <c r="L2" s="74" t="s">
        <v>33</v>
      </c>
      <c r="M2" s="74" t="s">
        <v>24</v>
      </c>
      <c r="N2" s="74" t="s">
        <v>34</v>
      </c>
      <c r="O2" s="74" t="s">
        <v>35</v>
      </c>
      <c r="P2" s="56" t="s">
        <v>25</v>
      </c>
      <c r="R2" s="36" t="s">
        <v>176</v>
      </c>
      <c r="S2" s="36" t="s">
        <v>174</v>
      </c>
    </row>
    <row r="3" spans="1:19" ht="18" customHeight="1" thickBot="1">
      <c r="B3" s="259" t="s">
        <v>0</v>
      </c>
      <c r="C3" s="29" t="s">
        <v>15</v>
      </c>
      <c r="D3" s="34">
        <v>189.565</v>
      </c>
      <c r="E3" s="34">
        <v>162.99700000000001</v>
      </c>
      <c r="F3" s="34">
        <v>177.69399999999999</v>
      </c>
      <c r="G3" s="34">
        <v>183.24600000000001</v>
      </c>
      <c r="H3" s="34">
        <v>191.727</v>
      </c>
      <c r="I3" s="34">
        <v>186.97200000000001</v>
      </c>
      <c r="J3" s="34">
        <v>185.184</v>
      </c>
      <c r="K3" s="34">
        <v>183.15199999999999</v>
      </c>
      <c r="L3" s="34">
        <v>161.67400000000001</v>
      </c>
      <c r="M3" s="34">
        <v>183.32499999999999</v>
      </c>
      <c r="N3" s="34">
        <v>174.58199999999999</v>
      </c>
      <c r="O3" s="34">
        <v>160.87700000000001</v>
      </c>
      <c r="P3" s="34">
        <f>SUM(D3:O3)</f>
        <v>2140.9949999999999</v>
      </c>
    </row>
    <row r="4" spans="1:19" ht="18" customHeight="1" thickTop="1" thickBot="1">
      <c r="B4" s="260"/>
      <c r="C4" s="29" t="s">
        <v>16</v>
      </c>
      <c r="D4" s="34">
        <v>107.80200000000001</v>
      </c>
      <c r="E4" s="34">
        <v>83.56</v>
      </c>
      <c r="F4" s="34">
        <v>89.816000000000003</v>
      </c>
      <c r="G4" s="34">
        <v>44.307000000000002</v>
      </c>
      <c r="H4" s="34">
        <v>55.658000000000001</v>
      </c>
      <c r="I4" s="34">
        <v>51.210999999999999</v>
      </c>
      <c r="J4" s="34">
        <v>40.648000000000003</v>
      </c>
      <c r="K4" s="34">
        <v>0</v>
      </c>
      <c r="L4" s="34">
        <v>17.972999999999999</v>
      </c>
      <c r="M4" s="34">
        <v>97.600999999999999</v>
      </c>
      <c r="N4" s="34">
        <v>97.135999999999996</v>
      </c>
      <c r="O4" s="34">
        <v>86.902000000000001</v>
      </c>
      <c r="P4" s="34">
        <f>SUM(D4:O4)</f>
        <v>772.61400000000003</v>
      </c>
    </row>
    <row r="5" spans="1:19" ht="18" customHeight="1" thickTop="1" thickBot="1">
      <c r="B5" s="260"/>
      <c r="C5" s="29" t="s">
        <v>8</v>
      </c>
      <c r="D5" s="34">
        <f t="shared" ref="D5:P5" si="0">+D3+D4</f>
        <v>297.36700000000002</v>
      </c>
      <c r="E5" s="34">
        <f t="shared" si="0"/>
        <v>246.55700000000002</v>
      </c>
      <c r="F5" s="34">
        <f t="shared" si="0"/>
        <v>267.51</v>
      </c>
      <c r="G5" s="34">
        <f t="shared" si="0"/>
        <v>227.553</v>
      </c>
      <c r="H5" s="34">
        <f t="shared" si="0"/>
        <v>247.38499999999999</v>
      </c>
      <c r="I5" s="34">
        <f t="shared" si="0"/>
        <v>238.18299999999999</v>
      </c>
      <c r="J5" s="34">
        <f t="shared" si="0"/>
        <v>225.83199999999999</v>
      </c>
      <c r="K5" s="34">
        <f t="shared" si="0"/>
        <v>183.15199999999999</v>
      </c>
      <c r="L5" s="34">
        <f t="shared" si="0"/>
        <v>179.64699999999999</v>
      </c>
      <c r="M5" s="34">
        <f t="shared" si="0"/>
        <v>280.92599999999999</v>
      </c>
      <c r="N5" s="34">
        <f t="shared" si="0"/>
        <v>271.71799999999996</v>
      </c>
      <c r="O5" s="34">
        <f t="shared" si="0"/>
        <v>247.779</v>
      </c>
      <c r="P5" s="34">
        <f t="shared" si="0"/>
        <v>2913.6089999999999</v>
      </c>
      <c r="R5" s="7">
        <f>+D5+E5+F5+G5+H5+I5+J5+K5+L5+M5+N5+O5</f>
        <v>2913.6089999999999</v>
      </c>
      <c r="S5" s="66">
        <f>D5+E5+F5+G5+H5+I5+J5+K5+L5+M5+N5</f>
        <v>2665.83</v>
      </c>
    </row>
    <row r="6" spans="1:19" ht="18" customHeight="1" thickTop="1" thickBot="1">
      <c r="B6" s="260"/>
      <c r="C6" s="32" t="s">
        <v>81</v>
      </c>
      <c r="D6" s="35">
        <f>+(D5-'Hierro Primario 2015'!D5)/'Hierro Primario 2015'!D5</f>
        <v>-0.22539496476901227</v>
      </c>
      <c r="E6" s="35">
        <f>+(E5-'Hierro Primario 2015'!E5)/'Hierro Primario 2015'!E5</f>
        <v>-0.20698527874536438</v>
      </c>
      <c r="F6" s="35">
        <f>+(F5-'Hierro Primario 2015'!F5)/'Hierro Primario 2015'!F5</f>
        <v>-8.6853226103756953E-2</v>
      </c>
      <c r="G6" s="35">
        <f>+(G5-'Hierro Primario 2015'!G5)/'Hierro Primario 2015'!G5</f>
        <v>-0.17952203416720147</v>
      </c>
      <c r="H6" s="35">
        <f>+(H5-'Hierro Primario 2015'!H5)/'Hierro Primario 2015'!H5</f>
        <v>-0.25769282702954105</v>
      </c>
      <c r="I6" s="35">
        <f>+(I5-'Hierro Primario 2015'!I5)/'Hierro Primario 2015'!I5</f>
        <v>-0.23762411097810021</v>
      </c>
      <c r="J6" s="35">
        <f>+(J5-'Hierro Primario 2015'!J5)/'Hierro Primario 2015'!J5</f>
        <v>-0.25146338391371503</v>
      </c>
      <c r="K6" s="35">
        <f>+(K5-'Hierro Primario 2015'!K5)/'Hierro Primario 2015'!K5</f>
        <v>-0.45967123352332406</v>
      </c>
      <c r="L6" s="35">
        <f>+(L5-'Hierro Primario 2015'!L5)/'Hierro Primario 2015'!L5</f>
        <v>-0.43009009580610374</v>
      </c>
      <c r="M6" s="35">
        <f>+(M5-'Hierro Primario 2015'!M5)/'Hierro Primario 2015'!M5</f>
        <v>-0.26554718076220202</v>
      </c>
      <c r="N6" s="35">
        <f>+(N5-'Hierro Primario 2015'!N5)/'Hierro Primario 2015'!N5</f>
        <v>-0.23285760668558289</v>
      </c>
      <c r="O6" s="35">
        <f>+(O5-'Hierro Primario 2015'!O5)/'Hierro Primario 2015'!O5</f>
        <v>-0.25156315131304713</v>
      </c>
      <c r="P6" s="35">
        <f>+(P5-'Hierro Primario 2015'!P5)/'Hierro Primario 2015'!P5</f>
        <v>-0.25945748108046274</v>
      </c>
      <c r="R6" s="14"/>
    </row>
    <row r="7" spans="1:19" ht="18" customHeight="1" thickTop="1" thickBot="1">
      <c r="B7" s="260" t="s">
        <v>42</v>
      </c>
      <c r="C7" s="29" t="s">
        <v>15</v>
      </c>
      <c r="D7" s="34">
        <v>2099</v>
      </c>
      <c r="E7" s="34">
        <v>1914</v>
      </c>
      <c r="F7" s="34">
        <v>2073</v>
      </c>
      <c r="G7" s="34">
        <v>1832</v>
      </c>
      <c r="H7" s="34">
        <v>2090</v>
      </c>
      <c r="I7" s="34">
        <v>2120</v>
      </c>
      <c r="J7" s="34">
        <v>2333</v>
      </c>
      <c r="K7" s="34">
        <v>2360</v>
      </c>
      <c r="L7" s="34">
        <v>2266</v>
      </c>
      <c r="M7" s="34">
        <v>2461</v>
      </c>
      <c r="N7" s="34">
        <v>2298</v>
      </c>
      <c r="O7" s="34">
        <v>2190</v>
      </c>
      <c r="P7" s="34">
        <f>SUM(D7:O7)</f>
        <v>26036</v>
      </c>
    </row>
    <row r="8" spans="1:19" ht="18" customHeight="1" thickTop="1" thickBot="1">
      <c r="B8" s="260"/>
      <c r="C8" s="29" t="s">
        <v>16</v>
      </c>
      <c r="D8" s="34">
        <v>0</v>
      </c>
      <c r="E8" s="34">
        <v>0</v>
      </c>
      <c r="F8" s="34">
        <v>0</v>
      </c>
      <c r="G8" s="34"/>
      <c r="H8" s="34"/>
      <c r="I8" s="34"/>
      <c r="J8" s="34"/>
      <c r="K8" s="34"/>
      <c r="L8" s="34"/>
      <c r="M8" s="34"/>
      <c r="N8" s="34"/>
      <c r="O8" s="34"/>
      <c r="P8" s="34">
        <f>SUM(D8:O8)</f>
        <v>0</v>
      </c>
    </row>
    <row r="9" spans="1:19" ht="18" customHeight="1" thickTop="1" thickBot="1">
      <c r="B9" s="260"/>
      <c r="C9" s="29" t="s">
        <v>8</v>
      </c>
      <c r="D9" s="34">
        <f>+D7+D8</f>
        <v>2099</v>
      </c>
      <c r="E9" s="34">
        <f>+E7+E8</f>
        <v>1914</v>
      </c>
      <c r="F9" s="34">
        <f>+F7+F8</f>
        <v>2073</v>
      </c>
      <c r="G9" s="34">
        <f t="shared" ref="G9:O9" si="1">+G7+G8</f>
        <v>1832</v>
      </c>
      <c r="H9" s="34">
        <f t="shared" si="1"/>
        <v>2090</v>
      </c>
      <c r="I9" s="34">
        <f t="shared" si="1"/>
        <v>2120</v>
      </c>
      <c r="J9" s="34">
        <f t="shared" si="1"/>
        <v>2333</v>
      </c>
      <c r="K9" s="34">
        <f t="shared" si="1"/>
        <v>2360</v>
      </c>
      <c r="L9" s="34">
        <f t="shared" si="1"/>
        <v>2266</v>
      </c>
      <c r="M9" s="34">
        <f t="shared" si="1"/>
        <v>2461</v>
      </c>
      <c r="N9" s="34">
        <f t="shared" si="1"/>
        <v>2298</v>
      </c>
      <c r="O9" s="34">
        <f t="shared" si="1"/>
        <v>2190</v>
      </c>
      <c r="P9" s="34">
        <f>+P7+P8</f>
        <v>26036</v>
      </c>
      <c r="R9" s="7">
        <f t="shared" ref="R9" si="2">+D9+E9+F9+G9+H9+I9+J9+K9+L9+M9+N9+O9</f>
        <v>26036</v>
      </c>
      <c r="S9" s="66">
        <f t="shared" ref="S9" si="3">D9+E9+F9+G9+H9+I9+J9+K9+L9+M9+N9</f>
        <v>23846</v>
      </c>
    </row>
    <row r="10" spans="1:19" ht="18" customHeight="1" thickTop="1" thickBot="1">
      <c r="B10" s="260"/>
      <c r="C10" s="32" t="s">
        <v>81</v>
      </c>
      <c r="D10" s="35">
        <f>+(D9-'Hierro Primario 2015'!D9)/'Hierro Primario 2015'!D9</f>
        <v>-0.15431103948428687</v>
      </c>
      <c r="E10" s="35">
        <f>+(E9-'Hierro Primario 2015'!E9)/'Hierro Primario 2015'!E9</f>
        <v>-0.11183294663573086</v>
      </c>
      <c r="F10" s="35">
        <f>+(F9-'Hierro Primario 2015'!F9)/'Hierro Primario 2015'!F9</f>
        <v>-8.2743362831858402E-2</v>
      </c>
      <c r="G10" s="35">
        <f>+(G9-'Hierro Primario 2015'!G9)/'Hierro Primario 2015'!G9</f>
        <v>-0.22438611346316681</v>
      </c>
      <c r="H10" s="35">
        <f>+(H9-'Hierro Primario 2015'!H9)/'Hierro Primario 2015'!H9</f>
        <v>-0.14484451718494271</v>
      </c>
      <c r="I10" s="35">
        <f>+(I9-'Hierro Primario 2015'!I9)/'Hierro Primario 2015'!I9</f>
        <v>-8.7779690189328741E-2</v>
      </c>
      <c r="J10" s="35">
        <f>+(J9-'Hierro Primario 2015'!J9)/'Hierro Primario 2015'!J9</f>
        <v>-1.0182435299109036E-2</v>
      </c>
      <c r="K10" s="35">
        <f>+(K9-'Hierro Primario 2015'!K9)/'Hierro Primario 2015'!K9</f>
        <v>6.3965884861407248E-3</v>
      </c>
      <c r="L10" s="35">
        <f>+(L9-'Hierro Primario 2015'!L9)/'Hierro Primario 2015'!L9</f>
        <v>3.234624145785877E-2</v>
      </c>
      <c r="M10" s="35">
        <f>+(M9-'Hierro Primario 2015'!M9)/'Hierro Primario 2015'!M9</f>
        <v>1.1092851273623664E-2</v>
      </c>
      <c r="N10" s="35">
        <f>+(N9-'Hierro Primario 2015'!N9)/'Hierro Primario 2015'!N9</f>
        <v>5.9474412171507604E-2</v>
      </c>
      <c r="O10" s="35">
        <f>+(O9-'Hierro Primario 2015'!O9)/'Hierro Primario 2015'!O9</f>
        <v>-3.7785588752196834E-2</v>
      </c>
      <c r="P10" s="35">
        <f>+(P9-'Hierro Primario 2015'!P9)/'Hierro Primario 2015'!P9</f>
        <v>-6.3554292702226373E-2</v>
      </c>
      <c r="R10" s="14"/>
    </row>
    <row r="11" spans="1:19" ht="18" customHeight="1" thickTop="1" thickBot="1">
      <c r="B11" s="260" t="s">
        <v>1</v>
      </c>
      <c r="C11" s="29" t="s">
        <v>15</v>
      </c>
      <c r="D11" s="34">
        <v>57.011499999999977</v>
      </c>
      <c r="E11" s="34">
        <v>55.804999999999971</v>
      </c>
      <c r="F11" s="34">
        <v>56.782999999999966</v>
      </c>
      <c r="G11" s="34">
        <v>53.19</v>
      </c>
      <c r="H11" s="34">
        <v>60.385199999999998</v>
      </c>
      <c r="I11" s="34">
        <v>54.96400000000002</v>
      </c>
      <c r="J11" s="34">
        <v>58.960499999999982</v>
      </c>
      <c r="K11" s="34">
        <v>57.797999999999995</v>
      </c>
      <c r="L11" s="34">
        <v>57.455999999999953</v>
      </c>
      <c r="M11" s="34">
        <v>55.158600000000021</v>
      </c>
      <c r="N11" s="34">
        <v>50.413000000000018</v>
      </c>
      <c r="O11" s="34">
        <v>59.338999999999942</v>
      </c>
      <c r="P11" s="34">
        <f>SUM(D11:O11)</f>
        <v>677.26379999999972</v>
      </c>
    </row>
    <row r="12" spans="1:19" ht="18" customHeight="1" thickTop="1" thickBot="1">
      <c r="B12" s="260"/>
      <c r="C12" s="29" t="s">
        <v>16</v>
      </c>
      <c r="D12" s="34">
        <v>0</v>
      </c>
      <c r="E12" s="34">
        <v>0</v>
      </c>
      <c r="F12" s="34"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>
        <f>SUM(D12:O12)</f>
        <v>0</v>
      </c>
    </row>
    <row r="13" spans="1:19" ht="18" customHeight="1" thickTop="1" thickBot="1">
      <c r="B13" s="260"/>
      <c r="C13" s="29" t="s">
        <v>8</v>
      </c>
      <c r="D13" s="34">
        <f t="shared" ref="D13:P13" si="4">+D11+D12</f>
        <v>57.011499999999977</v>
      </c>
      <c r="E13" s="34">
        <f t="shared" si="4"/>
        <v>55.804999999999971</v>
      </c>
      <c r="F13" s="34">
        <f t="shared" si="4"/>
        <v>56.782999999999966</v>
      </c>
      <c r="G13" s="34">
        <f t="shared" si="4"/>
        <v>53.19</v>
      </c>
      <c r="H13" s="34">
        <f t="shared" si="4"/>
        <v>60.385199999999998</v>
      </c>
      <c r="I13" s="34">
        <f t="shared" si="4"/>
        <v>54.96400000000002</v>
      </c>
      <c r="J13" s="34">
        <f t="shared" si="4"/>
        <v>58.960499999999982</v>
      </c>
      <c r="K13" s="34">
        <f t="shared" si="4"/>
        <v>57.797999999999995</v>
      </c>
      <c r="L13" s="34">
        <f t="shared" si="4"/>
        <v>57.455999999999953</v>
      </c>
      <c r="M13" s="34">
        <f t="shared" si="4"/>
        <v>55.158600000000021</v>
      </c>
      <c r="N13" s="34">
        <f t="shared" si="4"/>
        <v>50.413000000000018</v>
      </c>
      <c r="O13" s="34">
        <f t="shared" si="4"/>
        <v>59.338999999999942</v>
      </c>
      <c r="P13" s="34">
        <f t="shared" si="4"/>
        <v>677.26379999999972</v>
      </c>
      <c r="R13" s="7">
        <f t="shared" ref="R13" si="5">+D13+E13+F13+G13+H13+I13+J13+K13+L13+M13+N13+O13</f>
        <v>677.26379999999972</v>
      </c>
      <c r="S13" s="66">
        <f t="shared" ref="S13" si="6">D13+E13+F13+G13+H13+I13+J13+K13+L13+M13+N13</f>
        <v>617.92479999999978</v>
      </c>
    </row>
    <row r="14" spans="1:19" ht="18" customHeight="1" thickTop="1" thickBot="1">
      <c r="B14" s="260"/>
      <c r="C14" s="32" t="s">
        <v>81</v>
      </c>
      <c r="D14" s="35">
        <f>+(D13-'Hierro Primario 2015'!D13)/'Hierro Primario 2015'!D13</f>
        <v>7.1991378701147897E-3</v>
      </c>
      <c r="E14" s="35">
        <f>+(E13-'Hierro Primario 2015'!E13)/'Hierro Primario 2015'!E13</f>
        <v>2.5186464342138625E-2</v>
      </c>
      <c r="F14" s="35">
        <f>+(F13-'Hierro Primario 2015'!F13)/'Hierro Primario 2015'!F13</f>
        <v>0.31190074625141428</v>
      </c>
      <c r="G14" s="35">
        <f>+(G13-'Hierro Primario 2015'!G13)/'Hierro Primario 2015'!G13</f>
        <v>8.6663397891640057E-2</v>
      </c>
      <c r="H14" s="35">
        <f>+(H13-'Hierro Primario 2015'!H13)/'Hierro Primario 2015'!H13</f>
        <v>5.5906833601454764E-2</v>
      </c>
      <c r="I14" s="35">
        <f>+(I13-'Hierro Primario 2015'!I13)/'Hierro Primario 2015'!I13</f>
        <v>-6.4458477302513625E-2</v>
      </c>
      <c r="J14" s="35">
        <f>+(J13-'Hierro Primario 2015'!J13)/'Hierro Primario 2015'!J13</f>
        <v>9.2954065176287098E-2</v>
      </c>
      <c r="K14" s="35">
        <f>+(K13-'Hierro Primario 2015'!K13)/'Hierro Primario 2015'!K13</f>
        <v>3.7833761289974899E-2</v>
      </c>
      <c r="L14" s="35">
        <f>+(L13-'Hierro Primario 2015'!L13)/'Hierro Primario 2015'!L13</f>
        <v>0.13276290367098995</v>
      </c>
      <c r="M14" s="35">
        <f>+(M13-'Hierro Primario 2015'!M13)/'Hierro Primario 2015'!M13</f>
        <v>5.4899785801714056E-2</v>
      </c>
      <c r="N14" s="35">
        <f>+(N13-'Hierro Primario 2015'!N13)/'Hierro Primario 2015'!N13</f>
        <v>-7.5177487112692565E-2</v>
      </c>
      <c r="O14" s="35">
        <f>+(O13-'Hierro Primario 2015'!O13)/'Hierro Primario 2015'!O13</f>
        <v>3.3312436875281924E-2</v>
      </c>
      <c r="P14" s="35">
        <f>+(P13-'Hierro Primario 2015'!P13)/'Hierro Primario 2015'!P13</f>
        <v>5.1991637050475444E-2</v>
      </c>
      <c r="R14" s="14"/>
    </row>
    <row r="15" spans="1:19" ht="18" customHeight="1" thickTop="1" thickBot="1">
      <c r="B15" s="260" t="s">
        <v>2</v>
      </c>
      <c r="C15" s="29" t="s">
        <v>15</v>
      </c>
      <c r="D15" s="30">
        <v>14.42</v>
      </c>
      <c r="E15" s="30">
        <v>1.4767728</v>
      </c>
      <c r="F15" s="30">
        <v>29.114278700000003</v>
      </c>
      <c r="G15" s="30">
        <v>25</v>
      </c>
      <c r="H15" s="30">
        <v>17.502762875000002</v>
      </c>
      <c r="I15" s="30">
        <v>18.273453593750002</v>
      </c>
      <c r="J15" s="30">
        <v>22.472623792187502</v>
      </c>
      <c r="K15" s="30">
        <v>20.812210065234378</v>
      </c>
      <c r="L15" s="30">
        <v>19</v>
      </c>
      <c r="M15" s="30">
        <v>18</v>
      </c>
      <c r="N15" s="30">
        <v>20.071208464355472</v>
      </c>
      <c r="O15" s="30">
        <f>+AVERAGE(L15:N15)</f>
        <v>19.023736154785158</v>
      </c>
      <c r="P15" s="34">
        <f>SUM(D15:O15)</f>
        <v>225.16704644531251</v>
      </c>
    </row>
    <row r="16" spans="1:19" ht="18" customHeight="1" thickTop="1" thickBot="1">
      <c r="B16" s="260"/>
      <c r="C16" s="29" t="s">
        <v>16</v>
      </c>
      <c r="D16" s="30">
        <v>0</v>
      </c>
      <c r="E16" s="30">
        <v>0</v>
      </c>
      <c r="F16" s="30"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4">
        <f>SUM(D16:O16)</f>
        <v>0</v>
      </c>
    </row>
    <row r="17" spans="2:19" ht="18" customHeight="1" thickTop="1" thickBot="1">
      <c r="B17" s="260"/>
      <c r="C17" s="29" t="s">
        <v>8</v>
      </c>
      <c r="D17" s="30">
        <f>+D15+D16</f>
        <v>14.42</v>
      </c>
      <c r="E17" s="30">
        <f>+E15+E16</f>
        <v>1.4767728</v>
      </c>
      <c r="F17" s="30">
        <f>+F15+F16</f>
        <v>29.114278700000003</v>
      </c>
      <c r="G17" s="30">
        <f t="shared" ref="G17:O17" si="7">+G15+G16</f>
        <v>25</v>
      </c>
      <c r="H17" s="30">
        <f t="shared" si="7"/>
        <v>17.502762875000002</v>
      </c>
      <c r="I17" s="30">
        <f t="shared" si="7"/>
        <v>18.273453593750002</v>
      </c>
      <c r="J17" s="30">
        <f t="shared" si="7"/>
        <v>22.472623792187502</v>
      </c>
      <c r="K17" s="30">
        <f t="shared" si="7"/>
        <v>20.812210065234378</v>
      </c>
      <c r="L17" s="30">
        <f t="shared" si="7"/>
        <v>19</v>
      </c>
      <c r="M17" s="30">
        <f t="shared" si="7"/>
        <v>18</v>
      </c>
      <c r="N17" s="30">
        <f t="shared" si="7"/>
        <v>20.071208464355472</v>
      </c>
      <c r="O17" s="30">
        <f t="shared" si="7"/>
        <v>19.023736154785158</v>
      </c>
      <c r="P17" s="34">
        <f>+P15+P16</f>
        <v>225.16704644531251</v>
      </c>
      <c r="R17" s="7">
        <f t="shared" ref="R17" si="8">+D17+E17+F17+G17+H17+I17+J17+K17+L17+M17+N17+O17</f>
        <v>225.16704644531251</v>
      </c>
      <c r="S17" s="66">
        <f t="shared" ref="S17" si="9">D17+E17+F17+G17+H17+I17+J17+K17+L17+M17+N17</f>
        <v>206.14331029052735</v>
      </c>
    </row>
    <row r="18" spans="2:19" ht="18" customHeight="1" thickTop="1" thickBot="1">
      <c r="B18" s="260"/>
      <c r="C18" s="32" t="s">
        <v>81</v>
      </c>
      <c r="D18" s="35">
        <f>+(D17-'Hierro Primario 2015'!D17)/'Hierro Primario 2015'!D17</f>
        <v>2.9999999999999995E-2</v>
      </c>
      <c r="E18" s="35">
        <f>+(E17-'Hierro Primario 2015'!E17)/'Hierro Primario 2015'!E17</f>
        <v>3.0000000000000051E-2</v>
      </c>
      <c r="F18" s="35">
        <f>+(F17-'Hierro Primario 2015'!F17)/'Hierro Primario 2015'!F17</f>
        <v>3.0000000000000068E-2</v>
      </c>
      <c r="G18" s="35">
        <f>+(G17-'Hierro Primario 2015'!G17)/'Hierro Primario 2015'!G17</f>
        <v>-0.17950629909424062</v>
      </c>
      <c r="H18" s="35">
        <f>+(H17-'Hierro Primario 2015'!H17)/'Hierro Primario 2015'!H17</f>
        <v>-0.42005482184742682</v>
      </c>
      <c r="I18" s="35">
        <f>+(I17-'Hierro Primario 2015'!I17)/'Hierro Primario 2015'!I17</f>
        <v>-0.25874416807425915</v>
      </c>
      <c r="J18" s="35">
        <f>+(J17-'Hierro Primario 2015'!J17)/'Hierro Primario 2015'!J17</f>
        <v>-0.31937604967437133</v>
      </c>
      <c r="K18" s="35">
        <f>+(K17-'Hierro Primario 2015'!K17)/'Hierro Primario 2015'!K17</f>
        <v>0.47834571184869334</v>
      </c>
      <c r="L18" s="35">
        <f>+(L17-'Hierro Primario 2015'!L17)/'Hierro Primario 2015'!L17</f>
        <v>0.28538791315919243</v>
      </c>
      <c r="M18" s="35">
        <f>+(M17-'Hierro Primario 2015'!M17)/'Hierro Primario 2015'!M17</f>
        <v>0.15971385993362558</v>
      </c>
      <c r="N18" s="35">
        <f>+(N17-'Hierro Primario 2015'!N17)/'Hierro Primario 2015'!N17</f>
        <v>0.23161485018129313</v>
      </c>
      <c r="O18" s="35">
        <f>+(O17-'Hierro Primario 2015'!O17)/'Hierro Primario 2015'!O17</f>
        <v>0.1117586680442184</v>
      </c>
      <c r="P18" s="35">
        <f>+(P17-'Hierro Primario 2015'!P17)/'Hierro Primario 2015'!P17</f>
        <v>-6.1052541317910207E-2</v>
      </c>
      <c r="R18" s="14"/>
    </row>
    <row r="19" spans="2:19" s="3" customFormat="1" ht="18" customHeight="1" thickTop="1" thickBot="1">
      <c r="B19" s="260" t="s">
        <v>43</v>
      </c>
      <c r="C19" s="29" t="s">
        <v>15</v>
      </c>
      <c r="D19" s="34">
        <v>354.673</v>
      </c>
      <c r="E19" s="34">
        <v>336.15199999999999</v>
      </c>
      <c r="F19" s="34">
        <v>303.26299999999998</v>
      </c>
      <c r="G19" s="34">
        <v>308.07499999999999</v>
      </c>
      <c r="H19" s="34">
        <v>338.01400000000001</v>
      </c>
      <c r="I19" s="34">
        <v>403.86799999999999</v>
      </c>
      <c r="J19" s="34">
        <v>419.27499999999998</v>
      </c>
      <c r="K19" s="34">
        <v>369.57</v>
      </c>
      <c r="L19" s="34">
        <v>399.86799999999999</v>
      </c>
      <c r="M19" s="34">
        <v>437.51900000000001</v>
      </c>
      <c r="N19" s="34">
        <v>410.99700000000001</v>
      </c>
      <c r="O19" s="34">
        <v>394.32100000000003</v>
      </c>
      <c r="P19" s="34">
        <f>SUM(D19:O19)</f>
        <v>4475.5950000000003</v>
      </c>
      <c r="R19" s="2"/>
      <c r="S19" s="36"/>
    </row>
    <row r="20" spans="2:19" s="3" customFormat="1" ht="18" customHeight="1" thickTop="1" thickBot="1">
      <c r="B20" s="260"/>
      <c r="C20" s="29" t="s">
        <v>16</v>
      </c>
      <c r="D20" s="34">
        <v>344.43</v>
      </c>
      <c r="E20" s="34">
        <v>407.43200000000002</v>
      </c>
      <c r="F20" s="34">
        <v>343.99599999999998</v>
      </c>
      <c r="G20" s="34">
        <v>491.565</v>
      </c>
      <c r="H20" s="34">
        <v>542.10699999999997</v>
      </c>
      <c r="I20" s="34">
        <v>523.45799999999997</v>
      </c>
      <c r="J20" s="34">
        <v>413.05700000000002</v>
      </c>
      <c r="K20" s="34">
        <v>483.96600000000001</v>
      </c>
      <c r="L20" s="34">
        <v>451.233</v>
      </c>
      <c r="M20" s="34">
        <v>436.66699999999997</v>
      </c>
      <c r="N20" s="34">
        <v>453.10199999999998</v>
      </c>
      <c r="O20" s="34">
        <v>414.90800000000002</v>
      </c>
      <c r="P20" s="34">
        <f>SUM(D20:O20)</f>
        <v>5305.9210000000003</v>
      </c>
      <c r="R20" s="2"/>
      <c r="S20" s="36"/>
    </row>
    <row r="21" spans="2:19" s="3" customFormat="1" ht="18" customHeight="1" thickTop="1" thickBot="1">
      <c r="B21" s="260"/>
      <c r="C21" s="29" t="s">
        <v>8</v>
      </c>
      <c r="D21" s="34">
        <f t="shared" ref="D21:I21" si="10">+D19+D20</f>
        <v>699.10300000000007</v>
      </c>
      <c r="E21" s="34">
        <f t="shared" si="10"/>
        <v>743.58400000000006</v>
      </c>
      <c r="F21" s="34">
        <f t="shared" si="10"/>
        <v>647.25900000000001</v>
      </c>
      <c r="G21" s="34">
        <f t="shared" si="10"/>
        <v>799.64</v>
      </c>
      <c r="H21" s="34">
        <f t="shared" si="10"/>
        <v>880.12099999999998</v>
      </c>
      <c r="I21" s="34">
        <f t="shared" si="10"/>
        <v>927.32600000000002</v>
      </c>
      <c r="J21" s="34">
        <f t="shared" ref="J21:O21" si="11">+J19+J20</f>
        <v>832.33199999999999</v>
      </c>
      <c r="K21" s="34">
        <f t="shared" si="11"/>
        <v>853.53600000000006</v>
      </c>
      <c r="L21" s="34">
        <f t="shared" si="11"/>
        <v>851.101</v>
      </c>
      <c r="M21" s="34">
        <f t="shared" si="11"/>
        <v>874.18599999999992</v>
      </c>
      <c r="N21" s="34">
        <f t="shared" si="11"/>
        <v>864.09899999999993</v>
      </c>
      <c r="O21" s="34">
        <f t="shared" si="11"/>
        <v>809.22900000000004</v>
      </c>
      <c r="P21" s="34">
        <f>+P19+P20</f>
        <v>9781.5159999999996</v>
      </c>
      <c r="R21" s="7">
        <f t="shared" ref="R21" si="12">+D21+E21+F21+G21+H21+I21+J21+K21+L21+M21+N21+O21</f>
        <v>9781.5159999999978</v>
      </c>
      <c r="S21" s="66">
        <f t="shared" ref="S21" si="13">D21+E21+F21+G21+H21+I21+J21+K21+L21+M21+N21</f>
        <v>8972.2869999999984</v>
      </c>
    </row>
    <row r="22" spans="2:19" s="3" customFormat="1" ht="18" customHeight="1" thickTop="1" thickBot="1">
      <c r="B22" s="260"/>
      <c r="C22" s="32" t="s">
        <v>81</v>
      </c>
      <c r="D22" s="35">
        <f>+(D21-'Hierro Primario 2015'!D21)/'Hierro Primario 2015'!D21</f>
        <v>-0.25438398153619052</v>
      </c>
      <c r="E22" s="35">
        <f>+(E21-'Hierro Primario 2015'!E21)/'Hierro Primario 2015'!E21</f>
        <v>-0.15734314867615254</v>
      </c>
      <c r="F22" s="35">
        <f>+(F21-'Hierro Primario 2015'!F21)/'Hierro Primario 2015'!F21</f>
        <v>-0.28993582359716963</v>
      </c>
      <c r="G22" s="35">
        <f>+(G21-'Hierro Primario 2015'!G21)/'Hierro Primario 2015'!G21</f>
        <v>-3.0045729673342261E-2</v>
      </c>
      <c r="H22" s="35">
        <f>+(H21-'Hierro Primario 2015'!H21)/'Hierro Primario 2015'!H21</f>
        <v>-1.9521101906769305E-2</v>
      </c>
      <c r="I22" s="35">
        <f>+(I21-'Hierro Primario 2015'!I21)/'Hierro Primario 2015'!I21</f>
        <v>7.9183274466562245E-2</v>
      </c>
      <c r="J22" s="35">
        <f>+(J21-'Hierro Primario 2015'!J21)/'Hierro Primario 2015'!J21</f>
        <v>-4.214845876378109E-3</v>
      </c>
      <c r="K22" s="35">
        <f>+(K21-'Hierro Primario 2015'!K21)/'Hierro Primario 2015'!K21</f>
        <v>-7.9372338543711479E-2</v>
      </c>
      <c r="L22" s="35">
        <f>+(L21-'Hierro Primario 2015'!L21)/'Hierro Primario 2015'!L21</f>
        <v>-8.7321493869908839E-2</v>
      </c>
      <c r="M22" s="35">
        <f>+(M21-'Hierro Primario 2015'!M21)/'Hierro Primario 2015'!M21</f>
        <v>0.34617730033385469</v>
      </c>
      <c r="N22" s="35">
        <f>+(N21-'Hierro Primario 2015'!N21)/'Hierro Primario 2015'!N21</f>
        <v>0.25975358893876471</v>
      </c>
      <c r="O22" s="35">
        <f>+(O21-'Hierro Primario 2015'!O21)/'Hierro Primario 2015'!O21</f>
        <v>0.10778777561941223</v>
      </c>
      <c r="P22" s="35">
        <f>+(P21-'Hierro Primario 2015'!P21)/'Hierro Primario 2015'!P21</f>
        <v>-2.9057357835280198E-2</v>
      </c>
      <c r="R22" s="14"/>
      <c r="S22" s="36"/>
    </row>
    <row r="23" spans="2:19" ht="18" customHeight="1" thickTop="1" thickBot="1">
      <c r="B23" s="260" t="s">
        <v>6</v>
      </c>
      <c r="C23" s="29" t="s">
        <v>15</v>
      </c>
      <c r="D23" s="30">
        <v>1.5449999999999999</v>
      </c>
      <c r="E23" s="30">
        <v>5.215607825540002</v>
      </c>
      <c r="F23" s="30">
        <v>5.4767258694599992</v>
      </c>
      <c r="G23" s="30">
        <v>5</v>
      </c>
      <c r="H23" s="30">
        <v>4.3093334237500001</v>
      </c>
      <c r="I23" s="30">
        <v>5.0004167796875008</v>
      </c>
      <c r="J23" s="30">
        <v>4.946619018224375</v>
      </c>
      <c r="K23" s="30">
        <v>4.8140923054154694</v>
      </c>
      <c r="L23" s="30">
        <v>3</v>
      </c>
      <c r="M23" s="30">
        <v>4.4402820258318361</v>
      </c>
      <c r="N23" s="30">
        <v>3</v>
      </c>
      <c r="O23" s="30">
        <f>+AVERAGE(L23:N23)</f>
        <v>3.480094008610612</v>
      </c>
      <c r="P23" s="34">
        <f>SUM(D23:O23)</f>
        <v>50.228171256519794</v>
      </c>
    </row>
    <row r="24" spans="2:19" ht="18" customHeight="1" thickTop="1" thickBot="1">
      <c r="B24" s="260"/>
      <c r="C24" s="29" t="s">
        <v>16</v>
      </c>
      <c r="D24" s="30">
        <v>0</v>
      </c>
      <c r="E24" s="30">
        <v>0</v>
      </c>
      <c r="F24" s="30">
        <v>0</v>
      </c>
      <c r="G24" s="30"/>
      <c r="H24" s="30"/>
      <c r="I24" s="30"/>
      <c r="J24" s="30"/>
      <c r="K24" s="30"/>
      <c r="L24" s="30"/>
      <c r="M24" s="30"/>
      <c r="N24" s="30"/>
      <c r="O24" s="30"/>
      <c r="P24" s="34">
        <f>SUM(D24:O24)</f>
        <v>0</v>
      </c>
    </row>
    <row r="25" spans="2:19" ht="18" customHeight="1" thickTop="1" thickBot="1">
      <c r="B25" s="260"/>
      <c r="C25" s="29" t="s">
        <v>8</v>
      </c>
      <c r="D25" s="30">
        <f>+D23+D24</f>
        <v>1.5449999999999999</v>
      </c>
      <c r="E25" s="30">
        <f>+E23+E24</f>
        <v>5.215607825540002</v>
      </c>
      <c r="F25" s="30">
        <f>+F23+F24</f>
        <v>5.4767258694599992</v>
      </c>
      <c r="G25" s="30">
        <f t="shared" ref="G25:O25" si="14">+G23+G24</f>
        <v>5</v>
      </c>
      <c r="H25" s="30">
        <f t="shared" si="14"/>
        <v>4.3093334237500001</v>
      </c>
      <c r="I25" s="30">
        <f t="shared" si="14"/>
        <v>5.0004167796875008</v>
      </c>
      <c r="J25" s="30">
        <f t="shared" si="14"/>
        <v>4.946619018224375</v>
      </c>
      <c r="K25" s="30">
        <f t="shared" si="14"/>
        <v>4.8140923054154694</v>
      </c>
      <c r="L25" s="30">
        <f t="shared" si="14"/>
        <v>3</v>
      </c>
      <c r="M25" s="30">
        <f t="shared" si="14"/>
        <v>4.4402820258318361</v>
      </c>
      <c r="N25" s="30">
        <f t="shared" si="14"/>
        <v>3</v>
      </c>
      <c r="O25" s="30">
        <f t="shared" si="14"/>
        <v>3.480094008610612</v>
      </c>
      <c r="P25" s="34">
        <f>+P23+P24</f>
        <v>50.228171256519794</v>
      </c>
      <c r="R25" s="7">
        <f t="shared" ref="R25" si="15">+D25+E25+F25+G25+H25+I25+J25+K25+L25+M25+N25+O25</f>
        <v>50.228171256519794</v>
      </c>
      <c r="S25" s="66">
        <f t="shared" ref="S25" si="16">D25+E25+F25+G25+H25+I25+J25+K25+L25+M25+N25</f>
        <v>46.74807724790918</v>
      </c>
    </row>
    <row r="26" spans="2:19" ht="18" customHeight="1" thickTop="1" thickBot="1">
      <c r="B26" s="260"/>
      <c r="C26" s="32" t="s">
        <v>81</v>
      </c>
      <c r="D26" s="35">
        <f>+(D25-'Hierro Primario 2015'!D25)/'Hierro Primario 2015'!D25</f>
        <v>2.9999999999999954E-2</v>
      </c>
      <c r="E26" s="35">
        <f>+(E25-'Hierro Primario 2015'!E25)/'Hierro Primario 2015'!E25</f>
        <v>3.0000000000000086E-2</v>
      </c>
      <c r="F26" s="35">
        <f>+(F25-'Hierro Primario 2015'!F25)/'Hierro Primario 2015'!F25</f>
        <v>2.9999999999999964E-2</v>
      </c>
      <c r="G26" s="35">
        <f>+(G25-'Hierro Primario 2015'!G25)/'Hierro Primario 2015'!G25</f>
        <v>-0.10438279570056808</v>
      </c>
      <c r="H26" s="35">
        <f>+(H25-'Hierro Primario 2015'!H25)/'Hierro Primario 2015'!H25</f>
        <v>-0.26479296418407766</v>
      </c>
      <c r="I26" s="35">
        <f>+(I25-'Hierro Primario 2015'!I25)/'Hierro Primario 2015'!I25</f>
        <v>-0.1874840715162284</v>
      </c>
      <c r="J26" s="35">
        <f>+(J25-'Hierro Primario 2015'!J25)/'Hierro Primario 2015'!J25</f>
        <v>-0.23455239490602781</v>
      </c>
      <c r="K26" s="35">
        <f>+(K25-'Hierro Primario 2015'!K25)/'Hierro Primario 2015'!K25</f>
        <v>-0.29056740408096776</v>
      </c>
      <c r="L26" s="35">
        <f>+(L25-'Hierro Primario 2015'!L25)/'Hierro Primario 2015'!L25</f>
        <v>-0.57898712190469581</v>
      </c>
      <c r="M26" s="35">
        <f>+(M25-'Hierro Primario 2015'!M25)/'Hierro Primario 2015'!M25</f>
        <v>-0.40653029631725501</v>
      </c>
      <c r="N26" s="35">
        <f>+(N25-'Hierro Primario 2015'!N25)/'Hierro Primario 2015'!N25</f>
        <v>-0.61810752843796379</v>
      </c>
      <c r="O26" s="35">
        <f>+(O25-'Hierro Primario 2015'!O25)/'Hierro Primario 2015'!O25</f>
        <v>-0.57806319478737367</v>
      </c>
      <c r="P26" s="35">
        <f>+(P25-'Hierro Primario 2015'!P25)/'Hierro Primario 2015'!P25</f>
        <v>-0.31605206849733519</v>
      </c>
      <c r="R26" s="14"/>
    </row>
    <row r="27" spans="2:19" s="3" customFormat="1" ht="18" customHeight="1" thickTop="1" thickBot="1">
      <c r="B27" s="261" t="s">
        <v>44</v>
      </c>
      <c r="C27" s="29" t="s">
        <v>15</v>
      </c>
      <c r="D27" s="34">
        <v>0</v>
      </c>
      <c r="E27" s="34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4">
        <f>SUM(D27:O27)</f>
        <v>0</v>
      </c>
      <c r="R27" s="2"/>
      <c r="S27" s="36"/>
    </row>
    <row r="28" spans="2:19" s="3" customFormat="1" ht="18" customHeight="1" thickTop="1" thickBot="1">
      <c r="B28" s="261"/>
      <c r="C28" s="29" t="s">
        <v>16</v>
      </c>
      <c r="D28" s="34">
        <v>3.4140000000000001</v>
      </c>
      <c r="E28" s="34">
        <v>2.7370000000000001</v>
      </c>
      <c r="F28" s="34">
        <v>3.87</v>
      </c>
      <c r="G28" s="34">
        <v>0.78300000000000003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4">
        <f>SUM(D28:O28)</f>
        <v>10.804</v>
      </c>
      <c r="R28" s="2"/>
      <c r="S28" s="36"/>
    </row>
    <row r="29" spans="2:19" s="3" customFormat="1" ht="18" customHeight="1" thickTop="1" thickBot="1">
      <c r="B29" s="261"/>
      <c r="C29" s="29" t="s">
        <v>8</v>
      </c>
      <c r="D29" s="34">
        <f>+D27+D28</f>
        <v>3.4140000000000001</v>
      </c>
      <c r="E29" s="34">
        <f>+E27+E28</f>
        <v>2.7370000000000001</v>
      </c>
      <c r="F29" s="34">
        <f>+F27+F28</f>
        <v>3.87</v>
      </c>
      <c r="G29" s="34">
        <f t="shared" ref="G29:O29" si="17">+G27+G28</f>
        <v>0.78300000000000003</v>
      </c>
      <c r="H29" s="34">
        <f t="shared" si="17"/>
        <v>0</v>
      </c>
      <c r="I29" s="34">
        <f t="shared" si="17"/>
        <v>0</v>
      </c>
      <c r="J29" s="34">
        <f t="shared" si="17"/>
        <v>0</v>
      </c>
      <c r="K29" s="34">
        <f t="shared" si="17"/>
        <v>0</v>
      </c>
      <c r="L29" s="34">
        <f t="shared" si="17"/>
        <v>0</v>
      </c>
      <c r="M29" s="34">
        <f t="shared" si="17"/>
        <v>0</v>
      </c>
      <c r="N29" s="34">
        <f t="shared" si="17"/>
        <v>0</v>
      </c>
      <c r="O29" s="34">
        <f t="shared" si="17"/>
        <v>0</v>
      </c>
      <c r="P29" s="34">
        <f>+P27+P28</f>
        <v>10.804</v>
      </c>
      <c r="R29" s="7">
        <f t="shared" ref="R29" si="18">+D29+E29+F29+G29+H29+I29+J29+K29+L29+M29+N29+O29</f>
        <v>10.804</v>
      </c>
      <c r="S29" s="66">
        <f t="shared" ref="S29" si="19">D29+E29+F29+G29+H29+I29+J29+K29+L29+M29+N29</f>
        <v>10.804</v>
      </c>
    </row>
    <row r="30" spans="2:19" s="3" customFormat="1" ht="18" customHeight="1" thickTop="1" thickBot="1">
      <c r="B30" s="261"/>
      <c r="C30" s="32" t="s">
        <v>81</v>
      </c>
      <c r="D30" s="35">
        <f>+(D29-'Hierro Primario 2015'!D29)/'Hierro Primario 2015'!D29</f>
        <v>-0.58951545028255381</v>
      </c>
      <c r="E30" s="35">
        <f>+(E29-'Hierro Primario 2015'!E29)/'Hierro Primario 2015'!E29</f>
        <v>-0.67501781049631915</v>
      </c>
      <c r="F30" s="35">
        <f>+(F29-'Hierro Primario 2015'!F29)/'Hierro Primario 2015'!F29</f>
        <v>-0.56745277746730738</v>
      </c>
      <c r="G30" s="35">
        <f>+(G29-'Hierro Primario 2015'!G29)/'Hierro Primario 2015'!G29</f>
        <v>-0.84942307692307684</v>
      </c>
      <c r="H30" s="35">
        <f>+(H29-'Hierro Primario 2015'!H29)/'Hierro Primario 2015'!H29</f>
        <v>-1</v>
      </c>
      <c r="I30" s="35">
        <f>+(I29-'Hierro Primario 2015'!I29)/'Hierro Primario 2015'!I29</f>
        <v>-1</v>
      </c>
      <c r="J30" s="35">
        <f>+(J29-'Hierro Primario 2015'!J29)/'Hierro Primario 2015'!J29</f>
        <v>-1</v>
      </c>
      <c r="K30" s="35">
        <f>+(K29-'Hierro Primario 2015'!K29)/'Hierro Primario 2015'!K29</f>
        <v>-1</v>
      </c>
      <c r="L30" s="35">
        <f>+(L29-'Hierro Primario 2015'!L29)/'Hierro Primario 2015'!L29</f>
        <v>-1</v>
      </c>
      <c r="M30" s="35">
        <f>+(M29-'Hierro Primario 2015'!M29)/'Hierro Primario 2015'!M29</f>
        <v>-1</v>
      </c>
      <c r="N30" s="35">
        <f>+(N29-'Hierro Primario 2015'!N29)/'Hierro Primario 2015'!N29</f>
        <v>-1</v>
      </c>
      <c r="O30" s="35">
        <f>+(O29-'Hierro Primario 2015'!O29)/'Hierro Primario 2015'!O29</f>
        <v>-1</v>
      </c>
      <c r="P30" s="35">
        <f>+(P29-'Hierro Primario 2015'!P29)/'Hierro Primario 2015'!P29</f>
        <v>-0.85078172476658742</v>
      </c>
      <c r="R30" s="14"/>
      <c r="S30" s="36"/>
    </row>
    <row r="31" spans="2:19" s="3" customFormat="1" ht="18" customHeight="1" thickTop="1" thickBot="1">
      <c r="B31" s="261" t="s">
        <v>62</v>
      </c>
      <c r="C31" s="29" t="s">
        <v>15</v>
      </c>
      <c r="D31" s="34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>
        <f>SUM(D31:O31)</f>
        <v>0</v>
      </c>
      <c r="R31" s="2"/>
      <c r="S31" s="36"/>
    </row>
    <row r="32" spans="2:19" s="3" customFormat="1" ht="18" customHeight="1" thickTop="1" thickBot="1">
      <c r="B32" s="261"/>
      <c r="C32" s="29" t="s">
        <v>16</v>
      </c>
      <c r="D32" s="34">
        <v>128.75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>
        <f>SUM(D32:O32)</f>
        <v>128.75</v>
      </c>
      <c r="R32" s="2"/>
      <c r="S32" s="36"/>
    </row>
    <row r="33" spans="2:19" s="3" customFormat="1" ht="18" customHeight="1" thickTop="1" thickBot="1">
      <c r="B33" s="261"/>
      <c r="C33" s="29" t="s">
        <v>8</v>
      </c>
      <c r="D33" s="34">
        <f>+D31+D32</f>
        <v>128.75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>
        <f>SUM(D33:O33)</f>
        <v>128.75</v>
      </c>
      <c r="R33" s="7">
        <f t="shared" ref="R33" si="20">+D33+E33+F33+G33+H33+I33+J33+K33+L33+M33+N33+O33</f>
        <v>128.75</v>
      </c>
      <c r="S33" s="66">
        <f t="shared" ref="S33" si="21">D33+E33+F33+G33+H33+I33+J33+K33+L33+M33+N33</f>
        <v>128.75</v>
      </c>
    </row>
    <row r="34" spans="2:19" s="3" customFormat="1" ht="18" customHeight="1" thickTop="1" thickBot="1">
      <c r="B34" s="261"/>
      <c r="C34" s="32" t="s">
        <v>67</v>
      </c>
      <c r="D34" s="35">
        <f>+(D33-'Hierro Primario 2015'!D33)/'Hierro Primario 2015'!D33</f>
        <v>0.03</v>
      </c>
      <c r="E34" s="35">
        <f>+(E33-'Hierro Primario 2015'!E33)/'Hierro Primario 2015'!E33</f>
        <v>-1</v>
      </c>
      <c r="F34" s="35">
        <f>+(F33-'Hierro Primario 2015'!F33)/'Hierro Primario 2015'!F33</f>
        <v>-1</v>
      </c>
      <c r="G34" s="35">
        <f>+(G33-'Hierro Primario 2015'!G33)/'Hierro Primario 2015'!G33</f>
        <v>-1</v>
      </c>
      <c r="H34" s="35">
        <f>+(H33-'Hierro Primario 2015'!H33)/'Hierro Primario 2015'!H33</f>
        <v>-1</v>
      </c>
      <c r="I34" s="35">
        <f>+(I33-'Hierro Primario 2015'!I33)/'Hierro Primario 2015'!I33</f>
        <v>-1</v>
      </c>
      <c r="J34" s="35">
        <f>+(J33-'Hierro Primario 2015'!J33)/'Hierro Primario 2015'!J33</f>
        <v>-1</v>
      </c>
      <c r="K34" s="35">
        <f>+(K33-'Hierro Primario 2015'!K33)/'Hierro Primario 2015'!K33</f>
        <v>-1</v>
      </c>
      <c r="L34" s="35">
        <f>+(L33-'Hierro Primario 2015'!L33)/'Hierro Primario 2015'!L33</f>
        <v>-1</v>
      </c>
      <c r="M34" s="35">
        <f>+(M33-'Hierro Primario 2015'!M33)/'Hierro Primario 2015'!M33</f>
        <v>-1</v>
      </c>
      <c r="N34" s="35">
        <f>+(N33-'Hierro Primario 2015'!N33)/'Hierro Primario 2015'!N33</f>
        <v>-1</v>
      </c>
      <c r="O34" s="35">
        <f>+(O33-'Hierro Primario 2015'!O33)/'Hierro Primario 2015'!O33</f>
        <v>-1</v>
      </c>
      <c r="P34" s="35">
        <f>(P33-'Hierro Primario 2014'!P33)/'Hierro Primario 2014'!P33</f>
        <v>-0.94062241992539064</v>
      </c>
      <c r="R34" s="14"/>
      <c r="S34" s="36"/>
    </row>
    <row r="35" spans="2:19" s="3" customFormat="1" ht="18" customHeight="1" thickTop="1" thickBot="1">
      <c r="B35" s="261" t="s">
        <v>3</v>
      </c>
      <c r="C35" s="29" t="s">
        <v>15</v>
      </c>
      <c r="D35" s="34"/>
      <c r="E35" s="3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4">
        <f>SUM(D35:O35)</f>
        <v>0</v>
      </c>
      <c r="R35" s="2"/>
      <c r="S35" s="36"/>
    </row>
    <row r="36" spans="2:19" s="3" customFormat="1" ht="18" customHeight="1" thickTop="1" thickBot="1">
      <c r="B36" s="261"/>
      <c r="C36" s="29" t="s">
        <v>16</v>
      </c>
      <c r="D36" s="34">
        <v>56.424999999999997</v>
      </c>
      <c r="E36" s="34">
        <v>22.285</v>
      </c>
      <c r="F36" s="34">
        <v>12.294</v>
      </c>
      <c r="G36" s="34">
        <v>32.438000000000002</v>
      </c>
      <c r="H36" s="34">
        <v>45.491999999999997</v>
      </c>
      <c r="I36" s="34">
        <v>53.084000000000003</v>
      </c>
      <c r="J36" s="34">
        <v>56.447000000000003</v>
      </c>
      <c r="K36" s="34">
        <v>72.795000000000002</v>
      </c>
      <c r="L36" s="34">
        <v>91.149000000000001</v>
      </c>
      <c r="M36" s="34">
        <v>82.602999999999994</v>
      </c>
      <c r="N36" s="34">
        <v>64.606999999999999</v>
      </c>
      <c r="O36" s="34">
        <v>69.165000000000006</v>
      </c>
      <c r="P36" s="34">
        <f>SUM(D36:O36)</f>
        <v>658.78399999999999</v>
      </c>
      <c r="R36" s="2"/>
      <c r="S36" s="36"/>
    </row>
    <row r="37" spans="2:19" s="3" customFormat="1" ht="18" customHeight="1" thickTop="1" thickBot="1">
      <c r="B37" s="261"/>
      <c r="C37" s="29" t="s">
        <v>8</v>
      </c>
      <c r="D37" s="34">
        <f>+D35+D36</f>
        <v>56.424999999999997</v>
      </c>
      <c r="E37" s="34">
        <f>+E35+E36</f>
        <v>22.285</v>
      </c>
      <c r="F37" s="34">
        <f>+F35+F36</f>
        <v>12.294</v>
      </c>
      <c r="G37" s="34">
        <f t="shared" ref="G37:O37" si="22">+G35+G36</f>
        <v>32.438000000000002</v>
      </c>
      <c r="H37" s="34">
        <f t="shared" si="22"/>
        <v>45.491999999999997</v>
      </c>
      <c r="I37" s="34">
        <f t="shared" si="22"/>
        <v>53.084000000000003</v>
      </c>
      <c r="J37" s="34">
        <f t="shared" si="22"/>
        <v>56.447000000000003</v>
      </c>
      <c r="K37" s="34">
        <f t="shared" si="22"/>
        <v>72.795000000000002</v>
      </c>
      <c r="L37" s="34">
        <f t="shared" si="22"/>
        <v>91.149000000000001</v>
      </c>
      <c r="M37" s="34">
        <f t="shared" si="22"/>
        <v>82.602999999999994</v>
      </c>
      <c r="N37" s="34">
        <v>96.500499999999988</v>
      </c>
      <c r="O37" s="34">
        <f t="shared" si="22"/>
        <v>69.165000000000006</v>
      </c>
      <c r="P37" s="34">
        <f>+P35+P36</f>
        <v>658.78399999999999</v>
      </c>
      <c r="R37" s="7">
        <f t="shared" ref="R37" si="23">+D37+E37+F37+G37+H37+I37+J37+K37+L37+M37+N37+O37</f>
        <v>690.67750000000001</v>
      </c>
      <c r="S37" s="66">
        <f t="shared" ref="S37" si="24">D37+E37+F37+G37+H37+I37+J37+K37+L37+M37+N37</f>
        <v>621.51250000000005</v>
      </c>
    </row>
    <row r="38" spans="2:19" s="3" customFormat="1" ht="18" customHeight="1" thickTop="1" thickBot="1">
      <c r="B38" s="261"/>
      <c r="C38" s="32" t="s">
        <v>81</v>
      </c>
      <c r="D38" s="35">
        <f>+(D37-'Hierro Primario 2015'!D37)/'Hierro Primario 2015'!D37</f>
        <v>-0.5627426516742482</v>
      </c>
      <c r="E38" s="35">
        <f>+(E37-'Hierro Primario 2015'!E37)/'Hierro Primario 2015'!E37</f>
        <v>-0.87106497954744011</v>
      </c>
      <c r="F38" s="35">
        <f>+(F37-'Hierro Primario 2015'!F37)/'Hierro Primario 2015'!F37</f>
        <v>-0.88446248837012609</v>
      </c>
      <c r="G38" s="35">
        <f>+(G37-'Hierro Primario 2015'!G37)/'Hierro Primario 2015'!G37</f>
        <v>-0.67995974584632379</v>
      </c>
      <c r="H38" s="35">
        <f>+(H37-'Hierro Primario 2015'!H37)/'Hierro Primario 2015'!H37</f>
        <v>-0.3353592613154896</v>
      </c>
      <c r="I38" s="35">
        <f>+(I37-'Hierro Primario 2015'!I37)/'Hierro Primario 2015'!I37</f>
        <v>-0.68760519284865174</v>
      </c>
      <c r="J38" s="35">
        <f>+(J37-'Hierro Primario 2015'!J37)/'Hierro Primario 2015'!J37</f>
        <v>-0.6810092961487384</v>
      </c>
      <c r="K38" s="35">
        <f>+(K37-'Hierro Primario 2015'!K37)/'Hierro Primario 2015'!K37</f>
        <v>-8.4339622641509418E-2</v>
      </c>
      <c r="L38" s="35">
        <f>+(L37-'Hierro Primario 2015'!L37)/'Hierro Primario 2015'!L37</f>
        <v>-3.257339361905371E-2</v>
      </c>
      <c r="M38" s="35">
        <f>+(M37-'Hierro Primario 2015'!M37)/'Hierro Primario 2015'!M37</f>
        <v>0.91783334494207236</v>
      </c>
      <c r="N38" s="35">
        <f>+(N37-'Hierro Primario 2015'!N37)/'Hierro Primario 2015'!N37</f>
        <v>-6.4010669253152339E-2</v>
      </c>
      <c r="O38" s="35">
        <f>+(O37-'Hierro Primario 2015'!O37)/'Hierro Primario 2015'!O37</f>
        <v>-0.3764874513197749</v>
      </c>
      <c r="P38" s="35">
        <f>+(P37-'Hierro Primario 2015'!P37)/'Hierro Primario 2015'!P37</f>
        <v>-0.51409548240913583</v>
      </c>
      <c r="R38" s="14"/>
      <c r="S38" s="36"/>
    </row>
    <row r="39" spans="2:19" s="3" customFormat="1" ht="18" customHeight="1" thickTop="1" thickBot="1">
      <c r="B39" s="261" t="s">
        <v>63</v>
      </c>
      <c r="C39" s="29" t="s">
        <v>15</v>
      </c>
      <c r="D39" s="34">
        <f>+D3+D7+D11+D15+D19+D23+D27+D31+D35</f>
        <v>2716.2145</v>
      </c>
      <c r="E39" s="34">
        <f t="shared" ref="E39:O39" si="25">+E3+E7+E11+E15+E19+E23+E27+E31+E35</f>
        <v>2475.6463806255397</v>
      </c>
      <c r="F39" s="34">
        <f t="shared" si="25"/>
        <v>2645.3310045694598</v>
      </c>
      <c r="G39" s="34">
        <f t="shared" si="25"/>
        <v>2406.511</v>
      </c>
      <c r="H39" s="34">
        <f t="shared" si="25"/>
        <v>2701.9382962987502</v>
      </c>
      <c r="I39" s="34">
        <f t="shared" si="25"/>
        <v>2789.0778703734377</v>
      </c>
      <c r="J39" s="34">
        <f t="shared" si="25"/>
        <v>3023.838742810412</v>
      </c>
      <c r="K39" s="34">
        <f t="shared" si="25"/>
        <v>2996.1463023706501</v>
      </c>
      <c r="L39" s="34">
        <f t="shared" si="25"/>
        <v>2906.998</v>
      </c>
      <c r="M39" s="34">
        <f t="shared" si="25"/>
        <v>3159.4428820258318</v>
      </c>
      <c r="N39" s="34">
        <f t="shared" si="25"/>
        <v>2957.0632084643553</v>
      </c>
      <c r="O39" s="34">
        <f t="shared" si="25"/>
        <v>2827.0408301633956</v>
      </c>
      <c r="P39" s="34">
        <f>SUM(D39:O39)</f>
        <v>33605.249017701834</v>
      </c>
      <c r="R39" s="2"/>
      <c r="S39" s="36"/>
    </row>
    <row r="40" spans="2:19" s="3" customFormat="1" ht="18" customHeight="1" thickTop="1" thickBot="1">
      <c r="B40" s="261"/>
      <c r="C40" s="29" t="s">
        <v>16</v>
      </c>
      <c r="D40" s="34">
        <f>+D4+D8+D12+D16+D20+D24+D28+D32+D36</f>
        <v>640.82099999999991</v>
      </c>
      <c r="E40" s="34">
        <f t="shared" ref="E40:O40" si="26">+E4+E8+E12+E16+E20+E24+E28+E32+E36</f>
        <v>516.01400000000001</v>
      </c>
      <c r="F40" s="34">
        <f t="shared" si="26"/>
        <v>449.976</v>
      </c>
      <c r="G40" s="34">
        <f t="shared" si="26"/>
        <v>569.09299999999996</v>
      </c>
      <c r="H40" s="34">
        <f t="shared" si="26"/>
        <v>643.25699999999995</v>
      </c>
      <c r="I40" s="34">
        <f t="shared" si="26"/>
        <v>627.75299999999993</v>
      </c>
      <c r="J40" s="34">
        <f t="shared" si="26"/>
        <v>510.15200000000004</v>
      </c>
      <c r="K40" s="34">
        <f t="shared" si="26"/>
        <v>556.76099999999997</v>
      </c>
      <c r="L40" s="34">
        <f t="shared" si="26"/>
        <v>560.35500000000002</v>
      </c>
      <c r="M40" s="34">
        <f t="shared" si="26"/>
        <v>616.87099999999998</v>
      </c>
      <c r="N40" s="34">
        <f t="shared" si="26"/>
        <v>614.84499999999991</v>
      </c>
      <c r="O40" s="34">
        <f t="shared" si="26"/>
        <v>570.97500000000002</v>
      </c>
      <c r="P40" s="34">
        <f>SUM(D40:O40)</f>
        <v>6876.8729999999996</v>
      </c>
      <c r="R40" s="2"/>
      <c r="S40" s="36"/>
    </row>
    <row r="41" spans="2:19" s="3" customFormat="1" ht="18" customHeight="1" thickTop="1" thickBot="1">
      <c r="B41" s="261"/>
      <c r="C41" s="29" t="s">
        <v>8</v>
      </c>
      <c r="D41" s="34">
        <f t="shared" ref="D41:P41" si="27">+D39+D40</f>
        <v>3357.0355</v>
      </c>
      <c r="E41" s="34">
        <f t="shared" si="27"/>
        <v>2991.6603806255398</v>
      </c>
      <c r="F41" s="34">
        <f t="shared" si="27"/>
        <v>3095.3070045694599</v>
      </c>
      <c r="G41" s="34">
        <f t="shared" si="27"/>
        <v>2975.6039999999998</v>
      </c>
      <c r="H41" s="34">
        <f t="shared" si="27"/>
        <v>3345.1952962987502</v>
      </c>
      <c r="I41" s="34">
        <f t="shared" si="27"/>
        <v>3416.8308703734374</v>
      </c>
      <c r="J41" s="34">
        <f t="shared" si="27"/>
        <v>3533.990742810412</v>
      </c>
      <c r="K41" s="34">
        <f t="shared" si="27"/>
        <v>3552.9073023706501</v>
      </c>
      <c r="L41" s="34">
        <f t="shared" si="27"/>
        <v>3467.3530000000001</v>
      </c>
      <c r="M41" s="34">
        <f t="shared" si="27"/>
        <v>3776.3138820258318</v>
      </c>
      <c r="N41" s="34">
        <f t="shared" si="27"/>
        <v>3571.9082084643551</v>
      </c>
      <c r="O41" s="34">
        <f t="shared" si="27"/>
        <v>3398.0158301633955</v>
      </c>
      <c r="P41" s="34">
        <f t="shared" si="27"/>
        <v>40482.122017701833</v>
      </c>
      <c r="R41" s="7">
        <f t="shared" ref="R41" si="28">+D41+E41+F41+G41+H41+I41+J41+K41+L41+M41+N41+O41</f>
        <v>40482.122017701826</v>
      </c>
      <c r="S41" s="66">
        <f t="shared" ref="S41" si="29">D41+E41+F41+G41+H41+I41+J41+K41+L41+M41+N41</f>
        <v>37084.106187538433</v>
      </c>
    </row>
    <row r="42" spans="2:19" s="3" customFormat="1" ht="18" customHeight="1" thickTop="1" thickBot="1">
      <c r="B42" s="261"/>
      <c r="C42" s="32" t="s">
        <v>81</v>
      </c>
      <c r="D42" s="35">
        <f>+(D41-'Hierro Primario 2015'!D41)/'Hierro Primario 2015'!D41</f>
        <v>-0.18872543274165127</v>
      </c>
      <c r="E42" s="35">
        <f>+(E41-'Hierro Primario 2015'!E41)/'Hierro Primario 2015'!E41</f>
        <v>-0.1956348517101491</v>
      </c>
      <c r="F42" s="35">
        <f>+(F41-'Hierro Primario 2015'!F41)/'Hierro Primario 2015'!F41</f>
        <v>-0.18788607183521841</v>
      </c>
      <c r="G42" s="35">
        <f>+(G41-'Hierro Primario 2015'!G41)/'Hierro Primario 2015'!G41</f>
        <v>-0.22058448381887708</v>
      </c>
      <c r="H42" s="35">
        <f>+(H41-'Hierro Primario 2015'!H41)/'Hierro Primario 2015'!H41</f>
        <v>-0.16702351561397513</v>
      </c>
      <c r="I42" s="35">
        <f>+(I41-'Hierro Primario 2015'!I41)/'Hierro Primario 2015'!I41</f>
        <v>-0.13264811639339683</v>
      </c>
      <c r="J42" s="35">
        <f>+(J41-'Hierro Primario 2015'!J41)/'Hierro Primario 2015'!J41</f>
        <v>-0.1076004410092196</v>
      </c>
      <c r="K42" s="35">
        <f>+(K41-'Hierro Primario 2015'!K41)/'Hierro Primario 2015'!K41</f>
        <v>-0.1047974853977091</v>
      </c>
      <c r="L42" s="35">
        <f>+(L41-'Hierro Primario 2015'!L41)/'Hierro Primario 2015'!L41</f>
        <v>-9.2740578546445671E-2</v>
      </c>
      <c r="M42" s="35">
        <f>+(M41-'Hierro Primario 2015'!M41)/'Hierro Primario 2015'!M41</f>
        <v>-7.8806788318627544E-3</v>
      </c>
      <c r="N42" s="35">
        <f>+(N41-'Hierro Primario 2015'!N41)/'Hierro Primario 2015'!N41</f>
        <v>-1.3986416984397216E-2</v>
      </c>
      <c r="O42" s="35">
        <f>+(O41-'Hierro Primario 2015'!O41)/'Hierro Primario 2015'!O41</f>
        <v>-9.987094157774036E-2</v>
      </c>
      <c r="P42" s="35">
        <f>+(P41-'Hierro Primario 2015'!P41)/'Hierro Primario 2015'!P41</f>
        <v>-0.12747253800687972</v>
      </c>
      <c r="R42" s="14"/>
      <c r="S42" s="36"/>
    </row>
    <row r="43" spans="2:19" s="3" customFormat="1" ht="18" customHeight="1" thickTop="1">
      <c r="B43" s="28"/>
      <c r="C43" s="2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2"/>
      <c r="S43" s="36"/>
    </row>
    <row r="44" spans="2:19" s="3" customFormat="1" ht="18" customHeight="1">
      <c r="B44" s="25" t="s">
        <v>19</v>
      </c>
      <c r="C44" s="25" t="s">
        <v>19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2"/>
      <c r="S44" s="36"/>
    </row>
    <row r="45" spans="2:19" s="3" customFormat="1" ht="18" customHeight="1">
      <c r="B45" s="26" t="s">
        <v>12</v>
      </c>
      <c r="C45" s="26" t="s">
        <v>12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2"/>
      <c r="S45" s="66"/>
    </row>
    <row r="46" spans="2:19" s="3" customFormat="1" ht="18" customHeight="1">
      <c r="B46" s="2"/>
      <c r="C46" s="2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2"/>
      <c r="R46" s="44"/>
      <c r="S46" s="36"/>
    </row>
    <row r="48" spans="2:19">
      <c r="D48" s="36">
        <v>56425</v>
      </c>
      <c r="E48" s="36">
        <v>47210</v>
      </c>
      <c r="F48" s="36">
        <v>63153</v>
      </c>
      <c r="G48" s="36">
        <v>94084</v>
      </c>
      <c r="H48" s="36">
        <v>72999</v>
      </c>
      <c r="I48" s="36">
        <v>54249</v>
      </c>
      <c r="J48" s="36">
        <v>79194</v>
      </c>
      <c r="K48" s="36">
        <v>92618</v>
      </c>
      <c r="L48" s="36">
        <v>105453</v>
      </c>
      <c r="M48" s="36">
        <v>108737</v>
      </c>
      <c r="N48" s="36">
        <v>99202</v>
      </c>
      <c r="O48" s="36">
        <v>125187</v>
      </c>
    </row>
    <row r="49" spans="4:19">
      <c r="D49" s="36">
        <f>+D48/1000</f>
        <v>56.424999999999997</v>
      </c>
      <c r="E49" s="36">
        <f t="shared" ref="E49:O49" si="30">+E48/1000</f>
        <v>47.21</v>
      </c>
      <c r="F49" s="36">
        <f t="shared" si="30"/>
        <v>63.152999999999999</v>
      </c>
      <c r="G49" s="36">
        <f t="shared" si="30"/>
        <v>94.084000000000003</v>
      </c>
      <c r="H49" s="36">
        <f t="shared" si="30"/>
        <v>72.998999999999995</v>
      </c>
      <c r="I49" s="36">
        <f t="shared" si="30"/>
        <v>54.249000000000002</v>
      </c>
      <c r="J49" s="36">
        <f t="shared" si="30"/>
        <v>79.194000000000003</v>
      </c>
      <c r="K49" s="36">
        <f t="shared" si="30"/>
        <v>92.617999999999995</v>
      </c>
      <c r="L49" s="36">
        <f t="shared" si="30"/>
        <v>105.453</v>
      </c>
      <c r="M49" s="36">
        <f t="shared" si="30"/>
        <v>108.73699999999999</v>
      </c>
      <c r="N49" s="36">
        <f t="shared" si="30"/>
        <v>99.201999999999998</v>
      </c>
      <c r="O49" s="36">
        <f t="shared" si="30"/>
        <v>125.187</v>
      </c>
      <c r="S49" s="66">
        <f>+C49+D49+E49+F49+G49+H49</f>
        <v>333.87099999999998</v>
      </c>
    </row>
    <row r="53" spans="4:19">
      <c r="S53" s="66">
        <f>+C53+D53+E53+F53+G53+H53</f>
        <v>0</v>
      </c>
    </row>
    <row r="57" spans="4:19">
      <c r="S57" s="66">
        <f>+C57+D57+E57+F57+G57+H57</f>
        <v>0</v>
      </c>
    </row>
    <row r="61" spans="4:19">
      <c r="S61" s="66">
        <f>+C61+D61+E61+F61+G61+H61</f>
        <v>0</v>
      </c>
    </row>
  </sheetData>
  <mergeCells count="10">
    <mergeCell ref="B39:B42"/>
    <mergeCell ref="B35:B38"/>
    <mergeCell ref="B27:B30"/>
    <mergeCell ref="B3:B6"/>
    <mergeCell ref="B7:B10"/>
    <mergeCell ref="B11:B14"/>
    <mergeCell ref="B15:B18"/>
    <mergeCell ref="B19:B22"/>
    <mergeCell ref="B23:B26"/>
    <mergeCell ref="B31:B34"/>
  </mergeCells>
  <hyperlinks>
    <hyperlink ref="P1" location="Índice!A1" display="Í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46"/>
  <sheetViews>
    <sheetView zoomScale="70" zoomScaleNormal="70" workbookViewId="0">
      <pane xSplit="3" ySplit="2" topLeftCell="D27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1:18" s="8" customFormat="1" ht="38.25" customHeight="1" thickBot="1">
      <c r="A1" s="38" t="s">
        <v>41</v>
      </c>
      <c r="B1" s="22" t="s">
        <v>142</v>
      </c>
      <c r="O1" s="9"/>
      <c r="P1" s="87" t="s">
        <v>111</v>
      </c>
    </row>
    <row r="2" spans="1:18" ht="30" customHeight="1" thickTop="1">
      <c r="B2" s="33" t="s">
        <v>36</v>
      </c>
      <c r="C2" s="21" t="s">
        <v>23</v>
      </c>
      <c r="D2" s="50" t="s">
        <v>27</v>
      </c>
      <c r="E2" s="50" t="s">
        <v>28</v>
      </c>
      <c r="F2" s="50" t="s">
        <v>26</v>
      </c>
      <c r="G2" s="50" t="s">
        <v>22</v>
      </c>
      <c r="H2" s="50" t="s">
        <v>29</v>
      </c>
      <c r="I2" s="50" t="s">
        <v>30</v>
      </c>
      <c r="J2" s="50" t="s">
        <v>31</v>
      </c>
      <c r="K2" s="50" t="s">
        <v>32</v>
      </c>
      <c r="L2" s="50" t="s">
        <v>33</v>
      </c>
      <c r="M2" s="50" t="s">
        <v>24</v>
      </c>
      <c r="N2" s="50" t="s">
        <v>34</v>
      </c>
      <c r="O2" s="50" t="s">
        <v>35</v>
      </c>
      <c r="P2" s="50" t="s">
        <v>25</v>
      </c>
      <c r="R2" s="36" t="s">
        <v>99</v>
      </c>
    </row>
    <row r="3" spans="1:18" ht="18" customHeight="1" thickBot="1">
      <c r="B3" s="259" t="s">
        <v>0</v>
      </c>
      <c r="C3" s="29" t="s">
        <v>15</v>
      </c>
      <c r="D3" s="34">
        <v>238.4</v>
      </c>
      <c r="E3" s="34">
        <v>217.90600000000001</v>
      </c>
      <c r="F3" s="34">
        <v>229.98099999999999</v>
      </c>
      <c r="G3" s="34">
        <v>214.149</v>
      </c>
      <c r="H3" s="34">
        <v>241.977</v>
      </c>
      <c r="I3" s="34">
        <v>234.804</v>
      </c>
      <c r="J3" s="34">
        <v>240.42599999999999</v>
      </c>
      <c r="K3" s="34">
        <v>245.59700000000001</v>
      </c>
      <c r="L3" s="34">
        <v>225.91800000000001</v>
      </c>
      <c r="M3" s="34">
        <v>225.58099999999999</v>
      </c>
      <c r="N3" s="34">
        <v>196.202</v>
      </c>
      <c r="O3" s="34">
        <v>174.291</v>
      </c>
      <c r="P3" s="34">
        <f>SUM(D3:O3)</f>
        <v>2685.232</v>
      </c>
    </row>
    <row r="4" spans="1:18" ht="18" customHeight="1" thickTop="1" thickBot="1">
      <c r="B4" s="260"/>
      <c r="C4" s="29" t="s">
        <v>16</v>
      </c>
      <c r="D4" s="34">
        <v>145.495</v>
      </c>
      <c r="E4" s="34">
        <v>93.004999999999995</v>
      </c>
      <c r="F4" s="34">
        <v>62.972999999999999</v>
      </c>
      <c r="G4" s="34">
        <v>63.192999999999998</v>
      </c>
      <c r="H4" s="34">
        <v>91.287999999999997</v>
      </c>
      <c r="I4" s="34">
        <v>77.617999999999995</v>
      </c>
      <c r="J4" s="34">
        <v>61.271999999999998</v>
      </c>
      <c r="K4" s="34">
        <v>93.367000000000004</v>
      </c>
      <c r="L4" s="34">
        <v>89.302000000000007</v>
      </c>
      <c r="M4" s="34">
        <v>156.916</v>
      </c>
      <c r="N4" s="34">
        <v>157.99299999999999</v>
      </c>
      <c r="O4" s="34">
        <v>156.77099999999999</v>
      </c>
      <c r="P4" s="34">
        <f>SUM(D4:O4)</f>
        <v>1249.193</v>
      </c>
    </row>
    <row r="5" spans="1:18" ht="18" customHeight="1" thickTop="1" thickBot="1">
      <c r="B5" s="260"/>
      <c r="C5" s="29" t="s">
        <v>8</v>
      </c>
      <c r="D5" s="34">
        <v>383.89499999999998</v>
      </c>
      <c r="E5" s="34">
        <v>310.911</v>
      </c>
      <c r="F5" s="34">
        <v>292.95400000000001</v>
      </c>
      <c r="G5" s="34">
        <v>277.34199999999998</v>
      </c>
      <c r="H5" s="34">
        <v>333.26499999999999</v>
      </c>
      <c r="I5" s="34">
        <v>312.42200000000003</v>
      </c>
      <c r="J5" s="34">
        <v>301.69799999999998</v>
      </c>
      <c r="K5" s="34">
        <v>338.964</v>
      </c>
      <c r="L5" s="34">
        <v>315.22000000000003</v>
      </c>
      <c r="M5" s="34">
        <v>382.49699999999996</v>
      </c>
      <c r="N5" s="34">
        <v>354.19499999999999</v>
      </c>
      <c r="O5" s="34">
        <v>331.06200000000001</v>
      </c>
      <c r="P5" s="34">
        <f>SUM(D5:O5)</f>
        <v>3934.4249999999993</v>
      </c>
      <c r="R5" s="7">
        <f>+D5+E5+F5+G5+H5</f>
        <v>1598.3669999999997</v>
      </c>
    </row>
    <row r="6" spans="1:18" ht="18" customHeight="1" thickTop="1" thickBot="1">
      <c r="B6" s="260"/>
      <c r="C6" s="32" t="s">
        <v>67</v>
      </c>
      <c r="D6" s="35">
        <v>-2.3167938931297757E-2</v>
      </c>
      <c r="E6" s="35">
        <v>-0.12172033898305085</v>
      </c>
      <c r="F6" s="35">
        <v>-0.262080604534005</v>
      </c>
      <c r="G6" s="35">
        <v>-0.28520103092783511</v>
      </c>
      <c r="H6" s="35">
        <v>-0.15842171717171721</v>
      </c>
      <c r="I6" s="35">
        <v>-9.7046242774566402E-2</v>
      </c>
      <c r="J6" s="35">
        <v>-0.10740236686390539</v>
      </c>
      <c r="K6" s="35">
        <v>-3.0470588235294157E-3</v>
      </c>
      <c r="L6" s="35">
        <v>-3.0092307692307609E-2</v>
      </c>
      <c r="M6" s="35">
        <v>4.222615803814702E-2</v>
      </c>
      <c r="N6" s="35">
        <v>-8.2396373056994834E-2</v>
      </c>
      <c r="O6" s="35">
        <v>-0.16609068010075564</v>
      </c>
      <c r="P6" s="35">
        <f>(P5-'Hierro Primario 2014'!P5)/'Hierro Primario 2014'!P5</f>
        <v>-0.11126609442060102</v>
      </c>
      <c r="R6" s="14"/>
    </row>
    <row r="7" spans="1:18" ht="18" customHeight="1" thickTop="1" thickBot="1">
      <c r="B7" s="260" t="s">
        <v>42</v>
      </c>
      <c r="C7" s="29" t="s">
        <v>15</v>
      </c>
      <c r="D7" s="34">
        <v>2482</v>
      </c>
      <c r="E7" s="34">
        <v>2155</v>
      </c>
      <c r="F7" s="34">
        <v>2260</v>
      </c>
      <c r="G7" s="34">
        <v>2362</v>
      </c>
      <c r="H7" s="34">
        <v>2444</v>
      </c>
      <c r="I7" s="34">
        <v>2324</v>
      </c>
      <c r="J7" s="34">
        <v>2357</v>
      </c>
      <c r="K7" s="34">
        <v>2345</v>
      </c>
      <c r="L7" s="34">
        <v>2195</v>
      </c>
      <c r="M7" s="34">
        <v>2434</v>
      </c>
      <c r="N7" s="34">
        <v>2169</v>
      </c>
      <c r="O7" s="34">
        <v>2276</v>
      </c>
      <c r="P7" s="34">
        <f>SUM(D7:O7)</f>
        <v>27803</v>
      </c>
    </row>
    <row r="8" spans="1:18" ht="18" customHeight="1" thickTop="1" thickBot="1">
      <c r="B8" s="260"/>
      <c r="C8" s="29" t="s">
        <v>16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f>SUM(D8:O8)</f>
        <v>0</v>
      </c>
    </row>
    <row r="9" spans="1:18" ht="18" customHeight="1" thickTop="1" thickBot="1">
      <c r="B9" s="260"/>
      <c r="C9" s="29" t="s">
        <v>8</v>
      </c>
      <c r="D9" s="34">
        <v>2482</v>
      </c>
      <c r="E9" s="34">
        <v>2155</v>
      </c>
      <c r="F9" s="34">
        <v>2260</v>
      </c>
      <c r="G9" s="34">
        <v>2362</v>
      </c>
      <c r="H9" s="34">
        <v>2444</v>
      </c>
      <c r="I9" s="34">
        <v>2324</v>
      </c>
      <c r="J9" s="34">
        <v>2357</v>
      </c>
      <c r="K9" s="34">
        <v>2345</v>
      </c>
      <c r="L9" s="34">
        <v>2195</v>
      </c>
      <c r="M9" s="34">
        <v>2434</v>
      </c>
      <c r="N9" s="34">
        <v>2169</v>
      </c>
      <c r="O9" s="34">
        <v>2276</v>
      </c>
      <c r="P9" s="34">
        <f>SUM(D9:O9)</f>
        <v>27803</v>
      </c>
      <c r="R9" s="7">
        <f>+D9+E9+F9+G9+H9</f>
        <v>11703</v>
      </c>
    </row>
    <row r="10" spans="1:18" ht="18" customHeight="1" thickTop="1" thickBot="1">
      <c r="B10" s="260"/>
      <c r="C10" s="32" t="s">
        <v>67</v>
      </c>
      <c r="D10" s="35">
        <v>0.18303145853193517</v>
      </c>
      <c r="E10" s="35">
        <v>0.10569522832221652</v>
      </c>
      <c r="F10" s="35">
        <v>7.5791350869371379E-3</v>
      </c>
      <c r="G10" s="35">
        <v>0.13448607108549471</v>
      </c>
      <c r="H10" s="35">
        <v>0.12834718374884579</v>
      </c>
      <c r="I10" s="35">
        <v>5.7324840764331211E-2</v>
      </c>
      <c r="J10" s="35">
        <v>6.4047822374039285E-3</v>
      </c>
      <c r="K10" s="35">
        <v>-3.259075907590759E-2</v>
      </c>
      <c r="L10" s="35">
        <v>-9.0343970161624529E-2</v>
      </c>
      <c r="M10" s="35">
        <v>1.079734219269103E-2</v>
      </c>
      <c r="N10" s="35">
        <v>7.8996282527881035E-3</v>
      </c>
      <c r="O10" s="35">
        <v>-6.6447908121410992E-2</v>
      </c>
      <c r="P10" s="35">
        <f>(P9-'Hierro Primario 2014'!P9)/'Hierro Primario 2014'!P9</f>
        <v>2.9130885401243707E-2</v>
      </c>
      <c r="R10" s="14"/>
    </row>
    <row r="11" spans="1:18" ht="18" customHeight="1" thickTop="1" thickBot="1">
      <c r="B11" s="260" t="s">
        <v>1</v>
      </c>
      <c r="C11" s="29" t="s">
        <v>15</v>
      </c>
      <c r="D11" s="34">
        <v>56.603999999999999</v>
      </c>
      <c r="E11" s="34">
        <v>54.433999999999997</v>
      </c>
      <c r="F11" s="34">
        <v>43.283000000000001</v>
      </c>
      <c r="G11" s="34">
        <v>48.948</v>
      </c>
      <c r="H11" s="34">
        <v>57.188000000000002</v>
      </c>
      <c r="I11" s="34">
        <v>58.750999999999998</v>
      </c>
      <c r="J11" s="34">
        <v>53.945999999999998</v>
      </c>
      <c r="K11" s="34">
        <v>55.691000000000003</v>
      </c>
      <c r="L11" s="34">
        <v>50.722000000000001</v>
      </c>
      <c r="M11" s="34">
        <v>52.287999999999997</v>
      </c>
      <c r="N11" s="34">
        <v>54.511000000000003</v>
      </c>
      <c r="O11" s="34">
        <v>57.426000000000002</v>
      </c>
      <c r="P11" s="34">
        <f>SUM(D11:O11)</f>
        <v>643.79200000000003</v>
      </c>
    </row>
    <row r="12" spans="1:18" ht="18" customHeight="1" thickTop="1" thickBot="1">
      <c r="B12" s="260"/>
      <c r="C12" s="29" t="s">
        <v>16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f>SUM(D12:O12)</f>
        <v>0</v>
      </c>
    </row>
    <row r="13" spans="1:18" ht="18" customHeight="1" thickTop="1" thickBot="1">
      <c r="B13" s="260"/>
      <c r="C13" s="29" t="s">
        <v>8</v>
      </c>
      <c r="D13" s="34">
        <v>56.603999999999999</v>
      </c>
      <c r="E13" s="34">
        <v>54.433999999999997</v>
      </c>
      <c r="F13" s="34">
        <v>43.283000000000001</v>
      </c>
      <c r="G13" s="34">
        <v>48.948</v>
      </c>
      <c r="H13" s="34">
        <v>57.188000000000002</v>
      </c>
      <c r="I13" s="34">
        <v>58.750999999999998</v>
      </c>
      <c r="J13" s="34">
        <v>53.945999999999998</v>
      </c>
      <c r="K13" s="34">
        <v>55.691000000000003</v>
      </c>
      <c r="L13" s="34">
        <v>50.722000000000001</v>
      </c>
      <c r="M13" s="34">
        <v>52.287999999999997</v>
      </c>
      <c r="N13" s="34">
        <v>54.511000000000003</v>
      </c>
      <c r="O13" s="34">
        <v>57.426000000000002</v>
      </c>
      <c r="P13" s="34">
        <f>SUM(D13:O13)</f>
        <v>643.79200000000003</v>
      </c>
      <c r="R13" s="7">
        <f>+D13+E13+F13+G13+H13</f>
        <v>260.45699999999999</v>
      </c>
    </row>
    <row r="14" spans="1:18" ht="18" customHeight="1" thickTop="1" thickBot="1">
      <c r="B14" s="260"/>
      <c r="C14" s="32" t="s">
        <v>67</v>
      </c>
      <c r="D14" s="35">
        <v>0.18237837612015129</v>
      </c>
      <c r="E14" s="35">
        <v>0.29484526273222472</v>
      </c>
      <c r="F14" s="35">
        <v>-0.14153394553640486</v>
      </c>
      <c r="G14" s="35">
        <v>1.7312688350826111E-2</v>
      </c>
      <c r="H14" s="35">
        <v>0.14844565828580616</v>
      </c>
      <c r="I14" s="35">
        <v>0.3875348353880308</v>
      </c>
      <c r="J14" s="35">
        <v>5.1660948222083565E-2</v>
      </c>
      <c r="K14" s="35">
        <v>4.5114192955129834E-2</v>
      </c>
      <c r="L14" s="35">
        <v>9.6004667343719555E-2</v>
      </c>
      <c r="M14" s="35">
        <v>-3.3225478413608282E-2</v>
      </c>
      <c r="N14" s="35">
        <v>0.1904824302780144</v>
      </c>
      <c r="O14" s="35">
        <v>8.6379114642451807E-2</v>
      </c>
      <c r="P14" s="35">
        <f>(P13-'Hierro Primario 2014'!P13)/'Hierro Primario 2014'!P13</f>
        <v>0.10204389058167018</v>
      </c>
      <c r="R14" s="14"/>
    </row>
    <row r="15" spans="1:18" ht="18" customHeight="1" thickTop="1" thickBot="1">
      <c r="B15" s="260" t="s">
        <v>2</v>
      </c>
      <c r="C15" s="29" t="s">
        <v>15</v>
      </c>
      <c r="D15" s="30">
        <v>14</v>
      </c>
      <c r="E15" s="30">
        <v>1.4337599999999999</v>
      </c>
      <c r="F15" s="30">
        <v>28.266290000000001</v>
      </c>
      <c r="G15" s="30">
        <v>30.469460000000002</v>
      </c>
      <c r="H15" s="30">
        <v>30.180029999999999</v>
      </c>
      <c r="I15" s="30">
        <v>24.65202</v>
      </c>
      <c r="J15" s="30">
        <v>33.017679999999999</v>
      </c>
      <c r="K15" s="30">
        <v>14.07804</v>
      </c>
      <c r="L15" s="30">
        <v>14.781530000000002</v>
      </c>
      <c r="M15" s="30">
        <v>15.521070000000002</v>
      </c>
      <c r="N15" s="30">
        <v>16.296659999999999</v>
      </c>
      <c r="O15" s="30">
        <v>17.11139</v>
      </c>
      <c r="P15" s="30">
        <f>SUM(D15:O15)</f>
        <v>239.80793000000003</v>
      </c>
    </row>
    <row r="16" spans="1:18" ht="18" customHeight="1" thickTop="1" thickBot="1">
      <c r="B16" s="260"/>
      <c r="C16" s="29" t="s">
        <v>16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>SUM(D16:O16)</f>
        <v>0</v>
      </c>
    </row>
    <row r="17" spans="2:18" ht="18" customHeight="1" thickTop="1" thickBot="1">
      <c r="B17" s="260"/>
      <c r="C17" s="29" t="s">
        <v>8</v>
      </c>
      <c r="D17" s="30">
        <v>14</v>
      </c>
      <c r="E17" s="30">
        <v>1.4337599999999999</v>
      </c>
      <c r="F17" s="30">
        <v>28.266290000000001</v>
      </c>
      <c r="G17" s="30">
        <v>30.469460000000002</v>
      </c>
      <c r="H17" s="30">
        <v>30.180029999999999</v>
      </c>
      <c r="I17" s="30">
        <v>24.65202</v>
      </c>
      <c r="J17" s="30">
        <v>33.017679999999999</v>
      </c>
      <c r="K17" s="30">
        <v>14.07804</v>
      </c>
      <c r="L17" s="30">
        <v>14.781530000000002</v>
      </c>
      <c r="M17" s="30">
        <v>15.521070000000002</v>
      </c>
      <c r="N17" s="30">
        <v>16.296659999999999</v>
      </c>
      <c r="O17" s="30">
        <v>17.11139</v>
      </c>
      <c r="P17" s="30">
        <f>SUM(D17:O17)</f>
        <v>239.80793000000003</v>
      </c>
      <c r="R17" s="7">
        <f>+D17+E17+F17+G17+H17</f>
        <v>104.34954</v>
      </c>
    </row>
    <row r="18" spans="2:18" ht="18" customHeight="1" thickTop="1" thickBot="1">
      <c r="B18" s="260"/>
      <c r="C18" s="32" t="s">
        <v>67</v>
      </c>
      <c r="D18" s="37">
        <v>-4.7294998298741085E-2</v>
      </c>
      <c r="E18" s="37">
        <v>3.0000000000000016E-2</v>
      </c>
      <c r="F18" s="37">
        <v>3.0000000000000002E-2</v>
      </c>
      <c r="G18" s="37">
        <v>3.0000000000000027E-2</v>
      </c>
      <c r="H18" s="37">
        <v>3.0000000000000009E-2</v>
      </c>
      <c r="I18" s="37">
        <v>2.9999999999999964E-2</v>
      </c>
      <c r="J18" s="37">
        <v>3.0000000000000041E-2</v>
      </c>
      <c r="K18" s="37">
        <v>3.000000000000003E-2</v>
      </c>
      <c r="L18" s="37">
        <v>3.0000000000000065E-2</v>
      </c>
      <c r="M18" s="37">
        <v>3.0000000000000054E-2</v>
      </c>
      <c r="N18" s="37">
        <v>3.0000000000000006E-2</v>
      </c>
      <c r="O18" s="37">
        <v>3.0000000000000034E-2</v>
      </c>
      <c r="P18" s="37">
        <f>(P17-'Hierro Primario 2014'!P17)/'Hierro Primario 2014'!P17</f>
        <v>2.5144404640784008E-2</v>
      </c>
      <c r="R18" s="14"/>
    </row>
    <row r="19" spans="2:18" s="3" customFormat="1" ht="18" customHeight="1" thickTop="1" thickBot="1">
      <c r="B19" s="260" t="s">
        <v>43</v>
      </c>
      <c r="C19" s="29" t="s">
        <v>15</v>
      </c>
      <c r="D19" s="34">
        <v>413.31099999999998</v>
      </c>
      <c r="E19" s="34">
        <v>393.19900000000001</v>
      </c>
      <c r="F19" s="34">
        <v>452.79899999999998</v>
      </c>
      <c r="G19" s="34">
        <v>393.161</v>
      </c>
      <c r="H19" s="34">
        <v>436.55099999999999</v>
      </c>
      <c r="I19" s="34">
        <v>380.28100000000001</v>
      </c>
      <c r="J19" s="34">
        <v>285.45699999999999</v>
      </c>
      <c r="K19" s="34">
        <v>348.50700000000001</v>
      </c>
      <c r="L19" s="34">
        <v>402.07799999999997</v>
      </c>
      <c r="M19" s="34">
        <v>333.65899999999999</v>
      </c>
      <c r="N19" s="34">
        <v>349.70299999999997</v>
      </c>
      <c r="O19" s="34">
        <v>386.64</v>
      </c>
      <c r="P19" s="34">
        <f>SUM(D19:O19)</f>
        <v>4575.3460000000005</v>
      </c>
      <c r="R19" s="2"/>
    </row>
    <row r="20" spans="2:18" s="3" customFormat="1" ht="18" customHeight="1" thickTop="1" thickBot="1">
      <c r="B20" s="260"/>
      <c r="C20" s="29" t="s">
        <v>16</v>
      </c>
      <c r="D20" s="34">
        <v>524.30700000000002</v>
      </c>
      <c r="E20" s="34">
        <v>489.22899999999998</v>
      </c>
      <c r="F20" s="34">
        <v>458.75099999999998</v>
      </c>
      <c r="G20" s="34">
        <v>431.24900000000002</v>
      </c>
      <c r="H20" s="34">
        <v>461.09300000000002</v>
      </c>
      <c r="I20" s="34">
        <v>479.00400000000002</v>
      </c>
      <c r="J20" s="34">
        <v>550.39800000000002</v>
      </c>
      <c r="K20" s="34">
        <v>578.61699999999996</v>
      </c>
      <c r="L20" s="34">
        <v>530.45299999999997</v>
      </c>
      <c r="M20" s="34">
        <v>315.72500000000002</v>
      </c>
      <c r="N20" s="34">
        <v>336.22399999999999</v>
      </c>
      <c r="O20" s="34">
        <v>343.851</v>
      </c>
      <c r="P20" s="34">
        <f>SUM(D20:O20)</f>
        <v>5498.9010000000007</v>
      </c>
      <c r="R20" s="2"/>
    </row>
    <row r="21" spans="2:18" s="3" customFormat="1" ht="18" customHeight="1" thickTop="1" thickBot="1">
      <c r="B21" s="260"/>
      <c r="C21" s="29" t="s">
        <v>8</v>
      </c>
      <c r="D21" s="34">
        <v>937.61799999999994</v>
      </c>
      <c r="E21" s="34">
        <v>882.428</v>
      </c>
      <c r="F21" s="34">
        <v>911.55</v>
      </c>
      <c r="G21" s="34">
        <v>824.41000000000008</v>
      </c>
      <c r="H21" s="34">
        <v>897.64400000000001</v>
      </c>
      <c r="I21" s="34">
        <v>859.28500000000008</v>
      </c>
      <c r="J21" s="34">
        <v>835.85500000000002</v>
      </c>
      <c r="K21" s="34">
        <v>927.12400000000002</v>
      </c>
      <c r="L21" s="34">
        <v>932.53099999999995</v>
      </c>
      <c r="M21" s="34">
        <v>649.38400000000001</v>
      </c>
      <c r="N21" s="34">
        <v>685.92699999999991</v>
      </c>
      <c r="O21" s="34">
        <v>730.49099999999999</v>
      </c>
      <c r="P21" s="34">
        <f>SUM(D21:O21)</f>
        <v>10074.246999999998</v>
      </c>
      <c r="R21" s="7">
        <f>+D21+E21+F21+G21+H21</f>
        <v>4453.6499999999996</v>
      </c>
    </row>
    <row r="22" spans="2:18" s="3" customFormat="1" ht="18" customHeight="1" thickTop="1" thickBot="1">
      <c r="B22" s="260"/>
      <c r="C22" s="32" t="s">
        <v>67</v>
      </c>
      <c r="D22" s="35">
        <v>-6.6308174127792621E-2</v>
      </c>
      <c r="E22" s="35">
        <v>-1.4985717522852597E-2</v>
      </c>
      <c r="F22" s="35">
        <v>-8.8148177046602452E-2</v>
      </c>
      <c r="G22" s="35">
        <v>-7.1728485001345516E-2</v>
      </c>
      <c r="H22" s="35">
        <v>-2.3804474662681926E-2</v>
      </c>
      <c r="I22" s="35">
        <v>-8.6919977387778319E-2</v>
      </c>
      <c r="J22" s="35">
        <v>-3.7719644631305442E-2</v>
      </c>
      <c r="K22" s="35">
        <v>-3.4801827697170364E-2</v>
      </c>
      <c r="L22" s="35">
        <v>-4.5069187941544762E-2</v>
      </c>
      <c r="M22" s="35">
        <v>-0.30789587274519725</v>
      </c>
      <c r="N22" s="35">
        <v>-0.14697155108517768</v>
      </c>
      <c r="O22" s="35">
        <v>-0.18690867886893769</v>
      </c>
      <c r="P22" s="35">
        <f>(P21-'Hierro Primario 2014'!P21)/'Hierro Primario 2014'!P21</f>
        <v>-9.1998471018435765E-2</v>
      </c>
      <c r="R22" s="14"/>
    </row>
    <row r="23" spans="2:18" ht="18" customHeight="1" thickTop="1" thickBot="1">
      <c r="B23" s="260" t="s">
        <v>6</v>
      </c>
      <c r="C23" s="29" t="s">
        <v>15</v>
      </c>
      <c r="D23" s="30">
        <v>1.5</v>
      </c>
      <c r="E23" s="30">
        <v>5.0636969180000015</v>
      </c>
      <c r="F23" s="30">
        <v>5.3172095819999994</v>
      </c>
      <c r="G23" s="30">
        <v>5.5827422430000002</v>
      </c>
      <c r="H23" s="30">
        <v>5.8613876280000001</v>
      </c>
      <c r="I23" s="30">
        <v>6.1542384640000005</v>
      </c>
      <c r="J23" s="30">
        <v>6.4623874780000001</v>
      </c>
      <c r="K23" s="30">
        <v>6.7858346699999998</v>
      </c>
      <c r="L23" s="30">
        <v>7.1256727670000002</v>
      </c>
      <c r="M23" s="34">
        <v>7.4819017690000011</v>
      </c>
      <c r="N23" s="34">
        <v>7.8556144030000006</v>
      </c>
      <c r="O23" s="34">
        <v>8.2479033960000017</v>
      </c>
      <c r="P23" s="34">
        <f>SUM(D23:O23)</f>
        <v>73.438589317999998</v>
      </c>
    </row>
    <row r="24" spans="2:18" ht="18" customHeight="1" thickTop="1" thickBot="1">
      <c r="B24" s="260"/>
      <c r="C24" s="29" t="s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4">
        <v>0</v>
      </c>
      <c r="N24" s="34">
        <v>0</v>
      </c>
      <c r="O24" s="34">
        <v>0</v>
      </c>
      <c r="P24" s="34">
        <f>SUM(D24:O24)</f>
        <v>0</v>
      </c>
    </row>
    <row r="25" spans="2:18" ht="18" customHeight="1" thickTop="1" thickBot="1">
      <c r="B25" s="260"/>
      <c r="C25" s="29" t="s">
        <v>8</v>
      </c>
      <c r="D25" s="30">
        <v>1.5</v>
      </c>
      <c r="E25" s="30">
        <v>5.0636969180000015</v>
      </c>
      <c r="F25" s="30">
        <v>5.3172095819999994</v>
      </c>
      <c r="G25" s="30">
        <v>5.5827422430000002</v>
      </c>
      <c r="H25" s="30">
        <v>5.8613876280000001</v>
      </c>
      <c r="I25" s="30">
        <v>6.1542384640000005</v>
      </c>
      <c r="J25" s="30">
        <v>6.4623874780000001</v>
      </c>
      <c r="K25" s="30">
        <v>6.7858346699999998</v>
      </c>
      <c r="L25" s="30">
        <v>7.1256727670000002</v>
      </c>
      <c r="M25" s="34">
        <v>7.4819017690000011</v>
      </c>
      <c r="N25" s="34">
        <v>7.8556144030000006</v>
      </c>
      <c r="O25" s="34">
        <v>8.2479033960000017</v>
      </c>
      <c r="P25" s="34">
        <f>SUM(D25:O25)</f>
        <v>73.438589317999998</v>
      </c>
      <c r="R25" s="7">
        <f>+D25+E25+F25+G25+H25</f>
        <v>23.325036370999999</v>
      </c>
    </row>
    <row r="26" spans="2:18" ht="18" customHeight="1" thickTop="1" thickBot="1">
      <c r="B26" s="260"/>
      <c r="C26" s="32" t="s">
        <v>67</v>
      </c>
      <c r="D26" s="37">
        <v>-5.4251596186868666E-2</v>
      </c>
      <c r="E26" s="37">
        <v>3.0000000000000061E-2</v>
      </c>
      <c r="F26" s="37">
        <v>2.9999999999999964E-2</v>
      </c>
      <c r="G26" s="37">
        <v>3.0000000000000047E-2</v>
      </c>
      <c r="H26" s="37">
        <v>2.9999999999999975E-2</v>
      </c>
      <c r="I26" s="37">
        <v>3.0000000000000051E-2</v>
      </c>
      <c r="J26" s="37">
        <v>2.9999999999999961E-2</v>
      </c>
      <c r="K26" s="37">
        <v>0.03</v>
      </c>
      <c r="L26" s="37">
        <v>3.0000000000000006E-2</v>
      </c>
      <c r="M26" s="35">
        <v>2.9999999999999985E-2</v>
      </c>
      <c r="N26" s="35">
        <v>3.0000000000000054E-2</v>
      </c>
      <c r="O26" s="35">
        <v>3.0000000000000072E-2</v>
      </c>
      <c r="P26" s="35">
        <f>(P25-'Hierro Primario 2014'!P25)/'Hierro Primario 2014'!P25</f>
        <v>2.8129243917191932E-2</v>
      </c>
      <c r="R26" s="14"/>
    </row>
    <row r="27" spans="2:18" s="3" customFormat="1" ht="18" customHeight="1" thickTop="1" thickBot="1">
      <c r="B27" s="261" t="s">
        <v>44</v>
      </c>
      <c r="C27" s="29" t="s">
        <v>15</v>
      </c>
      <c r="D27" s="34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4">
        <v>0</v>
      </c>
      <c r="N27" s="34">
        <v>0</v>
      </c>
      <c r="O27" s="34">
        <v>0</v>
      </c>
      <c r="P27" s="34">
        <f>SUM(D27:O27)</f>
        <v>0</v>
      </c>
      <c r="R27" s="2"/>
    </row>
    <row r="28" spans="2:18" s="3" customFormat="1" ht="18" customHeight="1" thickTop="1" thickBot="1">
      <c r="B28" s="261"/>
      <c r="C28" s="29" t="s">
        <v>16</v>
      </c>
      <c r="D28" s="34">
        <v>8.3170000000000002</v>
      </c>
      <c r="E28" s="34">
        <v>8.4220000000000006</v>
      </c>
      <c r="F28" s="34">
        <v>8.9469999999999992</v>
      </c>
      <c r="G28" s="34">
        <v>5.2</v>
      </c>
      <c r="H28" s="34">
        <v>8.8190000000000008</v>
      </c>
      <c r="I28" s="34">
        <v>5.1139999999999999</v>
      </c>
      <c r="J28" s="34">
        <v>7.133</v>
      </c>
      <c r="K28" s="34">
        <v>4.2539999999999996</v>
      </c>
      <c r="L28" s="34">
        <v>4.8840000000000003</v>
      </c>
      <c r="M28" s="34">
        <v>4.3959999999999999</v>
      </c>
      <c r="N28" s="34">
        <v>3.1349999999999998</v>
      </c>
      <c r="O28" s="34">
        <v>3.7829999999999999</v>
      </c>
      <c r="P28" s="34">
        <f>SUM(D28:O28)</f>
        <v>72.403999999999996</v>
      </c>
      <c r="R28" s="2"/>
    </row>
    <row r="29" spans="2:18" s="3" customFormat="1" ht="18" customHeight="1" thickTop="1" thickBot="1">
      <c r="B29" s="261"/>
      <c r="C29" s="29" t="s">
        <v>8</v>
      </c>
      <c r="D29" s="34">
        <v>8.3170000000000002</v>
      </c>
      <c r="E29" s="34">
        <v>8.4220000000000006</v>
      </c>
      <c r="F29" s="34">
        <v>8.9469999999999992</v>
      </c>
      <c r="G29" s="34">
        <v>5.2</v>
      </c>
      <c r="H29" s="34">
        <v>8.8190000000000008</v>
      </c>
      <c r="I29" s="34">
        <v>5.1139999999999999</v>
      </c>
      <c r="J29" s="34">
        <v>7.133</v>
      </c>
      <c r="K29" s="34">
        <v>4.2539999999999996</v>
      </c>
      <c r="L29" s="34">
        <v>4.8840000000000003</v>
      </c>
      <c r="M29" s="34">
        <v>4.3959999999999999</v>
      </c>
      <c r="N29" s="34">
        <v>3.1349999999999998</v>
      </c>
      <c r="O29" s="34">
        <v>3.7829999999999999</v>
      </c>
      <c r="P29" s="34">
        <f>SUM(D29:O29)</f>
        <v>72.403999999999996</v>
      </c>
      <c r="R29" s="7">
        <f>+D29+E29+F29+G29+H29</f>
        <v>39.704999999999998</v>
      </c>
    </row>
    <row r="30" spans="2:18" s="3" customFormat="1" ht="18" customHeight="1" thickTop="1" thickBot="1">
      <c r="B30" s="261"/>
      <c r="C30" s="32" t="s">
        <v>67</v>
      </c>
      <c r="D30" s="35">
        <v>-5.6280494723703667E-2</v>
      </c>
      <c r="E30" s="35">
        <v>0.19545777146912713</v>
      </c>
      <c r="F30" s="35">
        <v>3.183023872679043E-2</v>
      </c>
      <c r="G30" s="35">
        <v>-0.35842072794571256</v>
      </c>
      <c r="H30" s="35">
        <v>6.2658151584528421E-2</v>
      </c>
      <c r="I30" s="35">
        <v>-0.16478850236812026</v>
      </c>
      <c r="J30" s="35">
        <v>0.19320843091334899</v>
      </c>
      <c r="K30" s="35">
        <v>-0.34964072771747451</v>
      </c>
      <c r="L30" s="35">
        <v>-0.40964583585156528</v>
      </c>
      <c r="M30" s="35">
        <v>-0.28497072218607677</v>
      </c>
      <c r="N30" s="35">
        <v>-0.57277187244480787</v>
      </c>
      <c r="O30" s="35">
        <v>-0.47142657538074612</v>
      </c>
      <c r="P30" s="35">
        <f>(P29-'Hierro Primario 2014'!P29)/'Hierro Primario 2014'!P29</f>
        <v>-0.18179249867218125</v>
      </c>
      <c r="R30" s="14"/>
    </row>
    <row r="31" spans="2:18" s="3" customFormat="1" ht="18" customHeight="1" thickTop="1" thickBot="1">
      <c r="B31" s="261" t="s">
        <v>62</v>
      </c>
      <c r="C31" s="29" t="s">
        <v>15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f>SUM(D31:O31)</f>
        <v>0</v>
      </c>
      <c r="R31" s="2"/>
    </row>
    <row r="32" spans="2:18" s="3" customFormat="1" ht="18" customHeight="1" thickTop="1" thickBot="1">
      <c r="B32" s="261"/>
      <c r="C32" s="29" t="s">
        <v>16</v>
      </c>
      <c r="D32" s="34">
        <v>125</v>
      </c>
      <c r="E32" s="34">
        <v>128.75</v>
      </c>
      <c r="F32" s="34">
        <v>154.69517593600003</v>
      </c>
      <c r="G32" s="34">
        <v>162.429497642</v>
      </c>
      <c r="H32" s="34">
        <v>170.55064470600001</v>
      </c>
      <c r="I32" s="34">
        <v>179.07828621400003</v>
      </c>
      <c r="J32" s="34">
        <v>188.03209125200001</v>
      </c>
      <c r="K32" s="34">
        <v>197.43391436000002</v>
      </c>
      <c r="L32" s="34">
        <v>207.305610078</v>
      </c>
      <c r="M32" s="34">
        <v>217.67121839999999</v>
      </c>
      <c r="N32" s="34">
        <v>228.55477931999999</v>
      </c>
      <c r="O32" s="34">
        <v>239.98251828600002</v>
      </c>
      <c r="P32" s="34">
        <f>SUM(D32:O32)</f>
        <v>2199.4837361940004</v>
      </c>
      <c r="R32" s="2"/>
    </row>
    <row r="33" spans="2:18" s="3" customFormat="1" ht="18" customHeight="1" thickTop="1" thickBot="1">
      <c r="B33" s="261"/>
      <c r="C33" s="29" t="s">
        <v>8</v>
      </c>
      <c r="D33" s="34">
        <v>125</v>
      </c>
      <c r="E33" s="34">
        <v>128.75</v>
      </c>
      <c r="F33" s="34">
        <v>154.69517593600003</v>
      </c>
      <c r="G33" s="34">
        <v>162.429497642</v>
      </c>
      <c r="H33" s="34">
        <v>170.55064470600001</v>
      </c>
      <c r="I33" s="34">
        <v>179.07828621400003</v>
      </c>
      <c r="J33" s="34">
        <v>188.03209125200001</v>
      </c>
      <c r="K33" s="34">
        <v>197.43391436000002</v>
      </c>
      <c r="L33" s="34">
        <v>207.305610078</v>
      </c>
      <c r="M33" s="34">
        <v>217.67121839999999</v>
      </c>
      <c r="N33" s="34">
        <v>228.55477931999999</v>
      </c>
      <c r="O33" s="34">
        <v>239.98251828600002</v>
      </c>
      <c r="P33" s="34">
        <f>SUM(D33:O33)</f>
        <v>2199.4837361940004</v>
      </c>
      <c r="R33" s="7">
        <f>+D33+E33+F33+G33+H33</f>
        <v>741.42531828400001</v>
      </c>
    </row>
    <row r="34" spans="2:18" s="3" customFormat="1" ht="18" customHeight="1" thickTop="1" thickBot="1">
      <c r="B34" s="261"/>
      <c r="C34" s="32" t="s">
        <v>67</v>
      </c>
      <c r="D34" s="35">
        <v>-8.2413819793942106E-2</v>
      </c>
      <c r="E34" s="35">
        <v>-9.9889315189310365E-2</v>
      </c>
      <c r="F34" s="35">
        <v>3.0000000000000037E-2</v>
      </c>
      <c r="G34" s="35">
        <v>2.999999999999994E-2</v>
      </c>
      <c r="H34" s="35">
        <v>3.0000000000000051E-2</v>
      </c>
      <c r="I34" s="35">
        <v>3.00000000000001E-2</v>
      </c>
      <c r="J34" s="35">
        <v>3.000000000000002E-2</v>
      </c>
      <c r="K34" s="35">
        <v>3.0000000000000068E-2</v>
      </c>
      <c r="L34" s="35">
        <v>3.000000000000002E-2</v>
      </c>
      <c r="M34" s="35">
        <v>2.9999999999999975E-2</v>
      </c>
      <c r="N34" s="35">
        <v>3.0000000000000013E-2</v>
      </c>
      <c r="O34" s="35">
        <v>3.0000000000000086E-2</v>
      </c>
      <c r="P34" s="35">
        <f>(P33-'Hierro Primario 2014'!P33)/'Hierro Primario 2014'!P33</f>
        <v>1.4369100339109129E-2</v>
      </c>
      <c r="R34" s="14"/>
    </row>
    <row r="35" spans="2:18" s="3" customFormat="1" ht="18" customHeight="1" thickTop="1" thickBot="1">
      <c r="B35" s="260" t="s">
        <v>3</v>
      </c>
      <c r="C35" s="29" t="s">
        <v>15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f>SUM(D35:O35)</f>
        <v>0</v>
      </c>
      <c r="R35" s="2"/>
    </row>
    <row r="36" spans="2:18" s="3" customFormat="1" ht="18" customHeight="1" thickTop="1" thickBot="1">
      <c r="B36" s="260"/>
      <c r="C36" s="29" t="s">
        <v>16</v>
      </c>
      <c r="D36" s="34">
        <v>129.04300000000001</v>
      </c>
      <c r="E36" s="34">
        <v>172.839</v>
      </c>
      <c r="F36" s="34">
        <v>106.407</v>
      </c>
      <c r="G36" s="34">
        <v>101.35599999999999</v>
      </c>
      <c r="H36" s="34">
        <v>68.445999999999998</v>
      </c>
      <c r="I36" s="34">
        <v>169.92599999999999</v>
      </c>
      <c r="J36" s="34">
        <v>176.95500000000001</v>
      </c>
      <c r="K36" s="34">
        <v>79.5</v>
      </c>
      <c r="L36" s="34">
        <v>94.218000000000004</v>
      </c>
      <c r="M36" s="34">
        <v>43.070999999999998</v>
      </c>
      <c r="N36" s="34">
        <v>103.1</v>
      </c>
      <c r="O36" s="34">
        <v>110.928</v>
      </c>
      <c r="P36" s="34">
        <f>SUM(D36:O36)</f>
        <v>1355.7889999999998</v>
      </c>
      <c r="R36" s="2"/>
    </row>
    <row r="37" spans="2:18" s="3" customFormat="1" ht="18" customHeight="1" thickTop="1" thickBot="1">
      <c r="B37" s="260"/>
      <c r="C37" s="29" t="s">
        <v>8</v>
      </c>
      <c r="D37" s="34">
        <v>129.04300000000001</v>
      </c>
      <c r="E37" s="34">
        <v>172.839</v>
      </c>
      <c r="F37" s="34">
        <v>106.407</v>
      </c>
      <c r="G37" s="34">
        <v>101.35599999999999</v>
      </c>
      <c r="H37" s="34">
        <v>68.445999999999998</v>
      </c>
      <c r="I37" s="34">
        <v>169.92599999999999</v>
      </c>
      <c r="J37" s="34">
        <v>176.95500000000001</v>
      </c>
      <c r="K37" s="34">
        <v>79.5</v>
      </c>
      <c r="L37" s="34">
        <v>94.218000000000004</v>
      </c>
      <c r="M37" s="34">
        <v>43.070999999999998</v>
      </c>
      <c r="N37" s="34">
        <v>103.1</v>
      </c>
      <c r="O37" s="34">
        <v>110.928</v>
      </c>
      <c r="P37" s="34">
        <f>SUM(D37:O37)</f>
        <v>1355.7889999999998</v>
      </c>
      <c r="R37" s="7">
        <f>+D37+E37+F37+G37+H37</f>
        <v>578.09100000000001</v>
      </c>
    </row>
    <row r="38" spans="2:18" s="3" customFormat="1" ht="18" customHeight="1" thickTop="1" thickBot="1">
      <c r="B38" s="260"/>
      <c r="C38" s="32" t="s">
        <v>67</v>
      </c>
      <c r="D38" s="35">
        <v>-0.21749913589754472</v>
      </c>
      <c r="E38" s="35">
        <v>0.62966490033755107</v>
      </c>
      <c r="F38" s="35">
        <v>0.35545138402354043</v>
      </c>
      <c r="G38" s="35">
        <v>-0.25657745146218558</v>
      </c>
      <c r="H38" s="35">
        <v>-0.23225502512562818</v>
      </c>
      <c r="I38" s="35">
        <v>0.56430721643790216</v>
      </c>
      <c r="J38" s="35">
        <v>1.3707479803325251</v>
      </c>
      <c r="K38" s="35">
        <v>-2.3389514028794609E-2</v>
      </c>
      <c r="L38" s="35">
        <v>-0.36232766847373649</v>
      </c>
      <c r="M38" s="35">
        <v>-0.69178420385994288</v>
      </c>
      <c r="N38" s="35">
        <v>-0.30411188207025036</v>
      </c>
      <c r="O38" s="35">
        <v>-0.12352146395809142</v>
      </c>
      <c r="P38" s="35">
        <f>(P37-'Hierro Primario 2014'!P37)/'Hierro Primario 2014'!P37</f>
        <v>-3.2854536090269559E-2</v>
      </c>
      <c r="R38" s="14"/>
    </row>
    <row r="39" spans="2:18" s="3" customFormat="1" ht="18" customHeight="1" thickTop="1">
      <c r="B39" s="262" t="s">
        <v>63</v>
      </c>
      <c r="C39" s="29" t="s">
        <v>15</v>
      </c>
      <c r="D39" s="34">
        <f>+D3+D7+D11+D15+D19+D23+D27+D31+D35</f>
        <v>3205.8150000000001</v>
      </c>
      <c r="E39" s="34">
        <f t="shared" ref="E39:O40" si="0">+E3+E7+E11+E15+E19+E23+E27+E31+E35</f>
        <v>2827.0364569180001</v>
      </c>
      <c r="F39" s="34">
        <f t="shared" si="0"/>
        <v>3019.6464995819997</v>
      </c>
      <c r="G39" s="34">
        <f>+G3+G7+G11+G15+G19+G23+G27+G31+G35</f>
        <v>3054.3102022429998</v>
      </c>
      <c r="H39" s="34">
        <f>+H3+H7+H11+H15+H19+H23+H27+H31+H35</f>
        <v>3215.757417628</v>
      </c>
      <c r="I39" s="34">
        <f t="shared" si="0"/>
        <v>3028.6422584640004</v>
      </c>
      <c r="J39" s="34">
        <f t="shared" si="0"/>
        <v>2976.3090674779996</v>
      </c>
      <c r="K39" s="34">
        <f t="shared" si="0"/>
        <v>3015.6588746699999</v>
      </c>
      <c r="L39" s="34">
        <f t="shared" si="0"/>
        <v>2895.6252027670007</v>
      </c>
      <c r="M39" s="34">
        <f t="shared" si="0"/>
        <v>3068.5309717690002</v>
      </c>
      <c r="N39" s="34">
        <f t="shared" si="0"/>
        <v>2793.568274403</v>
      </c>
      <c r="O39" s="34">
        <f t="shared" si="0"/>
        <v>2919.7162933959999</v>
      </c>
      <c r="P39" s="34">
        <f>SUM(D39:O39)</f>
        <v>36020.616519317999</v>
      </c>
      <c r="R39" s="2"/>
    </row>
    <row r="40" spans="2:18" s="3" customFormat="1" ht="18" customHeight="1">
      <c r="B40" s="263"/>
      <c r="C40" s="29" t="s">
        <v>16</v>
      </c>
      <c r="D40" s="34">
        <f>+D4+D8+D12+D16+D20+D24+D28+D32+D36</f>
        <v>932.16200000000003</v>
      </c>
      <c r="E40" s="34">
        <f t="shared" si="0"/>
        <v>892.24499999999989</v>
      </c>
      <c r="F40" s="34">
        <f t="shared" si="0"/>
        <v>791.77317593600003</v>
      </c>
      <c r="G40" s="34">
        <f t="shared" si="0"/>
        <v>763.42749764199993</v>
      </c>
      <c r="H40" s="34">
        <f t="shared" si="0"/>
        <v>800.19664470600003</v>
      </c>
      <c r="I40" s="34">
        <f t="shared" si="0"/>
        <v>910.74028621400021</v>
      </c>
      <c r="J40" s="34">
        <f t="shared" si="0"/>
        <v>983.79009125200014</v>
      </c>
      <c r="K40" s="34">
        <f t="shared" si="0"/>
        <v>953.17191435999996</v>
      </c>
      <c r="L40" s="34">
        <f t="shared" si="0"/>
        <v>926.16261007799994</v>
      </c>
      <c r="M40" s="34">
        <f t="shared" si="0"/>
        <v>737.7792184000001</v>
      </c>
      <c r="N40" s="34">
        <f t="shared" si="0"/>
        <v>829.00677931999996</v>
      </c>
      <c r="O40" s="34">
        <f t="shared" si="0"/>
        <v>855.31551828599993</v>
      </c>
      <c r="P40" s="34">
        <f>SUM(D40:O40)</f>
        <v>10375.770736193999</v>
      </c>
      <c r="R40" s="2"/>
    </row>
    <row r="41" spans="2:18" s="3" customFormat="1" ht="18" customHeight="1">
      <c r="B41" s="263"/>
      <c r="C41" s="29" t="s">
        <v>8</v>
      </c>
      <c r="D41" s="34">
        <f>+D39+D40</f>
        <v>4137.9769999999999</v>
      </c>
      <c r="E41" s="34">
        <f t="shared" ref="E41:O41" si="1">+E39+E40</f>
        <v>3719.281456918</v>
      </c>
      <c r="F41" s="34">
        <f t="shared" si="1"/>
        <v>3811.4196755179996</v>
      </c>
      <c r="G41" s="34">
        <f t="shared" si="1"/>
        <v>3817.7376998849995</v>
      </c>
      <c r="H41" s="34">
        <f t="shared" si="1"/>
        <v>4015.9540623339999</v>
      </c>
      <c r="I41" s="34">
        <f t="shared" si="1"/>
        <v>3939.3825446780006</v>
      </c>
      <c r="J41" s="34">
        <f t="shared" si="1"/>
        <v>3960.0991587299995</v>
      </c>
      <c r="K41" s="34">
        <f t="shared" si="1"/>
        <v>3968.8307890299998</v>
      </c>
      <c r="L41" s="34">
        <f t="shared" si="1"/>
        <v>3821.7878128450006</v>
      </c>
      <c r="M41" s="34">
        <f t="shared" si="1"/>
        <v>3806.3101901690002</v>
      </c>
      <c r="N41" s="34">
        <f t="shared" si="1"/>
        <v>3622.5750537230001</v>
      </c>
      <c r="O41" s="34">
        <f t="shared" si="1"/>
        <v>3775.0318116819999</v>
      </c>
      <c r="P41" s="34">
        <f>SUM(D41:O41)</f>
        <v>46396.387255511996</v>
      </c>
      <c r="R41" s="7">
        <f>+D41+E41+F41+G41+H41</f>
        <v>19502.369894654999</v>
      </c>
    </row>
    <row r="42" spans="2:18" s="3" customFormat="1" ht="18" customHeight="1" thickBot="1">
      <c r="B42" s="264"/>
      <c r="C42" s="32" t="s">
        <v>67</v>
      </c>
      <c r="D42" s="35">
        <f>(D41-'Hierro Primario 2014'!D41)/'Hierro Primario 2014'!D41</f>
        <v>6.8055206226616899E-2</v>
      </c>
      <c r="E42" s="35">
        <f>(E41-'Hierro Primario 2014'!E41)/'Hierro Primario 2014'!E41</f>
        <v>6.1638382115085801E-2</v>
      </c>
      <c r="F42" s="35">
        <f>(F41-'Hierro Primario 2014'!F41)/'Hierro Primario 2014'!F41</f>
        <v>-3.6317342893960498E-2</v>
      </c>
      <c r="G42" s="35">
        <f>(G41-'Hierro Primario 2014'!G41)/'Hierro Primario 2014'!G41</f>
        <v>2.1230377399497301E-2</v>
      </c>
      <c r="H42" s="35">
        <f>(H41-'Hierro Primario 2014'!H41)/'Hierro Primario 2014'!H41</f>
        <v>4.4365020295215128E-2</v>
      </c>
      <c r="I42" s="35">
        <f>(I41-'Hierro Primario 2014'!I41)/'Hierro Primario 2014'!I41</f>
        <v>2.2964515697693543E-2</v>
      </c>
      <c r="J42" s="35">
        <f>(J41-'Hierro Primario 2014'!J41)/'Hierro Primario 2014'!J41</f>
        <v>1.1152933620896007E-2</v>
      </c>
      <c r="K42" s="35">
        <f>(K41-'Hierro Primario 2014'!K41)/'Hierro Primario 2014'!K41</f>
        <v>-3.0745367329283818E-2</v>
      </c>
      <c r="L42" s="35">
        <f>(L41-'Hierro Primario 2014'!L41)/'Hierro Primario 2014'!L41</f>
        <v>-7.7839515660755337E-2</v>
      </c>
      <c r="M42" s="35">
        <f>(M41-'Hierro Primario 2014'!M41)/'Hierro Primario 2014'!M41</f>
        <v>-8.8072001712951459E-2</v>
      </c>
      <c r="N42" s="35">
        <f>(N41-'Hierro Primario 2014'!N41)/'Hierro Primario 2014'!N41</f>
        <v>-4.6373984312095592E-2</v>
      </c>
      <c r="O42" s="35">
        <f>(O41-'Hierro Primario 2014'!O41)/'Hierro Primario 2014'!O41</f>
        <v>-9.9167484278236948E-2</v>
      </c>
      <c r="P42" s="35">
        <f>(P41-'Hierro Primario 2014'!P41)/'Hierro Primario 2014'!P41</f>
        <v>-1.4649290166221993E-2</v>
      </c>
      <c r="R42" s="14"/>
    </row>
    <row r="43" spans="2:18" ht="13.5" thickTop="1">
      <c r="B43" s="28"/>
    </row>
    <row r="44" spans="2:18">
      <c r="B44" s="25" t="s">
        <v>19</v>
      </c>
      <c r="C44" s="25" t="s">
        <v>19</v>
      </c>
    </row>
    <row r="45" spans="2:18">
      <c r="B45" s="26" t="s">
        <v>12</v>
      </c>
      <c r="C45" s="26" t="s">
        <v>12</v>
      </c>
    </row>
    <row r="46" spans="2:18">
      <c r="J46" s="7"/>
    </row>
  </sheetData>
  <mergeCells count="10">
    <mergeCell ref="B27:B30"/>
    <mergeCell ref="B31:B34"/>
    <mergeCell ref="B35:B38"/>
    <mergeCell ref="B39:B42"/>
    <mergeCell ref="B3:B6"/>
    <mergeCell ref="B7:B10"/>
    <mergeCell ref="B11:B14"/>
    <mergeCell ref="B15:B18"/>
    <mergeCell ref="B19:B22"/>
    <mergeCell ref="B23:B26"/>
  </mergeCells>
  <hyperlinks>
    <hyperlink ref="P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46"/>
  <sheetViews>
    <sheetView zoomScale="70" zoomScaleNormal="70" zoomScaleSheetLayoutView="75" workbookViewId="0">
      <pane xSplit="3" ySplit="2" topLeftCell="D15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1:18" s="8" customFormat="1" ht="38.25" customHeight="1" thickBot="1">
      <c r="A1" s="38" t="s">
        <v>41</v>
      </c>
      <c r="B1" s="22" t="s">
        <v>143</v>
      </c>
      <c r="O1" s="9"/>
      <c r="P1" s="87" t="s">
        <v>111</v>
      </c>
    </row>
    <row r="2" spans="1:18" ht="30" customHeight="1" thickTop="1">
      <c r="B2" s="33" t="s">
        <v>36</v>
      </c>
      <c r="C2" s="21" t="s">
        <v>23</v>
      </c>
      <c r="D2" s="43" t="s">
        <v>27</v>
      </c>
      <c r="E2" s="43" t="s">
        <v>28</v>
      </c>
      <c r="F2" s="43" t="s">
        <v>26</v>
      </c>
      <c r="G2" s="43" t="s">
        <v>22</v>
      </c>
      <c r="H2" s="43" t="s">
        <v>29</v>
      </c>
      <c r="I2" s="43" t="s">
        <v>30</v>
      </c>
      <c r="J2" s="43" t="s">
        <v>31</v>
      </c>
      <c r="K2" s="43" t="s">
        <v>32</v>
      </c>
      <c r="L2" s="43" t="s">
        <v>33</v>
      </c>
      <c r="M2" s="43" t="s">
        <v>24</v>
      </c>
      <c r="N2" s="43" t="s">
        <v>34</v>
      </c>
      <c r="O2" s="43" t="s">
        <v>35</v>
      </c>
      <c r="P2" s="43" t="s">
        <v>25</v>
      </c>
    </row>
    <row r="3" spans="1:18" ht="18" customHeight="1" thickBot="1">
      <c r="B3" s="259" t="s">
        <v>0</v>
      </c>
      <c r="C3" s="29" t="s">
        <v>15</v>
      </c>
      <c r="D3" s="34">
        <v>238</v>
      </c>
      <c r="E3" s="34">
        <v>207</v>
      </c>
      <c r="F3" s="34">
        <v>228</v>
      </c>
      <c r="G3" s="34">
        <v>225</v>
      </c>
      <c r="H3" s="34">
        <v>238</v>
      </c>
      <c r="I3" s="34">
        <v>225</v>
      </c>
      <c r="J3" s="34">
        <v>237</v>
      </c>
      <c r="K3" s="34">
        <v>239</v>
      </c>
      <c r="L3" s="34">
        <v>226</v>
      </c>
      <c r="M3" s="34">
        <v>235</v>
      </c>
      <c r="N3" s="34">
        <v>229</v>
      </c>
      <c r="O3" s="34">
        <v>239</v>
      </c>
      <c r="P3" s="34">
        <v>2766</v>
      </c>
    </row>
    <row r="4" spans="1:18" ht="18" customHeight="1" thickTop="1" thickBot="1">
      <c r="B4" s="260"/>
      <c r="C4" s="29" t="s">
        <v>16</v>
      </c>
      <c r="D4" s="34">
        <v>155</v>
      </c>
      <c r="E4" s="34">
        <v>147</v>
      </c>
      <c r="F4" s="34">
        <v>169</v>
      </c>
      <c r="G4" s="34">
        <v>163</v>
      </c>
      <c r="H4" s="34">
        <v>158</v>
      </c>
      <c r="I4" s="34">
        <v>121</v>
      </c>
      <c r="J4" s="34">
        <v>101</v>
      </c>
      <c r="K4" s="34">
        <v>101</v>
      </c>
      <c r="L4" s="34">
        <v>99</v>
      </c>
      <c r="M4" s="34">
        <v>132</v>
      </c>
      <c r="N4" s="34">
        <v>157</v>
      </c>
      <c r="O4" s="34">
        <v>158</v>
      </c>
      <c r="P4" s="34">
        <v>1661</v>
      </c>
    </row>
    <row r="5" spans="1:18" ht="18" customHeight="1" thickTop="1" thickBot="1">
      <c r="B5" s="260"/>
      <c r="C5" s="29" t="s">
        <v>8</v>
      </c>
      <c r="D5" s="34">
        <v>393</v>
      </c>
      <c r="E5" s="34">
        <v>354</v>
      </c>
      <c r="F5" s="34">
        <v>397</v>
      </c>
      <c r="G5" s="34">
        <v>388</v>
      </c>
      <c r="H5" s="34">
        <v>396</v>
      </c>
      <c r="I5" s="34">
        <v>346</v>
      </c>
      <c r="J5" s="34">
        <v>338</v>
      </c>
      <c r="K5" s="34">
        <v>340</v>
      </c>
      <c r="L5" s="34">
        <v>325</v>
      </c>
      <c r="M5" s="34">
        <v>367</v>
      </c>
      <c r="N5" s="34">
        <v>386</v>
      </c>
      <c r="O5" s="34">
        <v>397</v>
      </c>
      <c r="P5" s="34">
        <v>4427</v>
      </c>
    </row>
    <row r="6" spans="1:18" ht="18" customHeight="1" thickTop="1" thickBot="1">
      <c r="B6" s="260"/>
      <c r="C6" s="32" t="s">
        <v>40</v>
      </c>
      <c r="D6" s="35">
        <v>0.454585831667777</v>
      </c>
      <c r="E6" s="35">
        <v>0.2037458940023531</v>
      </c>
      <c r="F6" s="35">
        <v>8.2590895699786466E-3</v>
      </c>
      <c r="G6" s="35">
        <v>2.0569204061234133E-2</v>
      </c>
      <c r="H6" s="35">
        <v>6.1323599173453966E-2</v>
      </c>
      <c r="I6" s="35">
        <v>9.4669969659291892E-2</v>
      </c>
      <c r="J6" s="35">
        <v>0.1731304534947487</v>
      </c>
      <c r="K6" s="35">
        <v>0.22314477717180156</v>
      </c>
      <c r="L6" s="35">
        <v>-3.2323376685246041E-2</v>
      </c>
      <c r="M6" s="35">
        <v>-4.7339689593678611E-2</v>
      </c>
      <c r="N6" s="35">
        <v>-4.0044565806685806E-2</v>
      </c>
      <c r="O6" s="35">
        <v>-4.3038152469427066E-3</v>
      </c>
      <c r="P6" s="35">
        <v>7.5719002854409398E-2</v>
      </c>
      <c r="R6" s="14"/>
    </row>
    <row r="7" spans="1:18" ht="18" customHeight="1" thickTop="1" thickBot="1">
      <c r="B7" s="260" t="s">
        <v>42</v>
      </c>
      <c r="C7" s="29" t="s">
        <v>15</v>
      </c>
      <c r="D7" s="34">
        <v>2103</v>
      </c>
      <c r="E7" s="34">
        <v>1949</v>
      </c>
      <c r="F7" s="34">
        <v>2238</v>
      </c>
      <c r="G7" s="34">
        <v>2077</v>
      </c>
      <c r="H7" s="34">
        <v>2182</v>
      </c>
      <c r="I7" s="34">
        <v>2203</v>
      </c>
      <c r="J7" s="34">
        <v>2357</v>
      </c>
      <c r="K7" s="34">
        <v>2441</v>
      </c>
      <c r="L7" s="34">
        <v>2418</v>
      </c>
      <c r="M7" s="34">
        <v>2435</v>
      </c>
      <c r="N7" s="34">
        <v>2162</v>
      </c>
      <c r="O7" s="34">
        <v>2451</v>
      </c>
      <c r="P7" s="34">
        <f>+SUM(D7:O7)</f>
        <v>27016</v>
      </c>
    </row>
    <row r="8" spans="1:18" ht="18" customHeight="1" thickTop="1" thickBot="1">
      <c r="B8" s="260"/>
      <c r="C8" s="29" t="s">
        <v>16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f>+SUM(D8:O8)</f>
        <v>0</v>
      </c>
    </row>
    <row r="9" spans="1:18" ht="18" customHeight="1" thickTop="1" thickBot="1">
      <c r="B9" s="260"/>
      <c r="C9" s="29" t="s">
        <v>8</v>
      </c>
      <c r="D9" s="34">
        <v>2103</v>
      </c>
      <c r="E9" s="34">
        <v>1949</v>
      </c>
      <c r="F9" s="34">
        <v>2238</v>
      </c>
      <c r="G9" s="34">
        <v>2077</v>
      </c>
      <c r="H9" s="34">
        <v>2182</v>
      </c>
      <c r="I9" s="34">
        <v>2203</v>
      </c>
      <c r="J9" s="34">
        <v>2357</v>
      </c>
      <c r="K9" s="34">
        <v>2441</v>
      </c>
      <c r="L9" s="34">
        <v>2418</v>
      </c>
      <c r="M9" s="34">
        <v>2435</v>
      </c>
      <c r="N9" s="34">
        <v>2162</v>
      </c>
      <c r="O9" s="34">
        <v>2451</v>
      </c>
      <c r="P9" s="34">
        <f>+SUM(D9:O9)</f>
        <v>27016</v>
      </c>
    </row>
    <row r="10" spans="1:18" ht="18" customHeight="1" thickTop="1" thickBot="1">
      <c r="B10" s="260"/>
      <c r="C10" s="32" t="s">
        <v>40</v>
      </c>
      <c r="D10" s="35">
        <v>-3.6730945821854911E-2</v>
      </c>
      <c r="E10" s="35">
        <v>-2.5012506253126562E-2</v>
      </c>
      <c r="F10" s="35">
        <v>3.9388322520852642E-2</v>
      </c>
      <c r="G10" s="35">
        <v>-7.0535714285714285E-2</v>
      </c>
      <c r="H10" s="35">
        <v>-3.3035714285714286E-2</v>
      </c>
      <c r="I10" s="35">
        <v>3.5327366933584549E-2</v>
      </c>
      <c r="J10" s="35">
        <v>5.8291911432444644E-2</v>
      </c>
      <c r="K10" s="35">
        <v>5.0259965337954939E-2</v>
      </c>
      <c r="L10" s="35">
        <v>7.5311942959001787E-2</v>
      </c>
      <c r="M10" s="35">
        <v>7.1174377224199295E-2</v>
      </c>
      <c r="N10" s="35">
        <v>4.7201946472019467E-2</v>
      </c>
      <c r="O10" s="35">
        <v>0.11121239744758432</v>
      </c>
      <c r="P10" s="35">
        <v>2.7213740458015268E-2</v>
      </c>
      <c r="R10" s="6"/>
    </row>
    <row r="11" spans="1:18" ht="18" customHeight="1" thickTop="1" thickBot="1">
      <c r="B11" s="260" t="s">
        <v>1</v>
      </c>
      <c r="C11" s="29" t="s">
        <v>15</v>
      </c>
      <c r="D11" s="34">
        <v>47.872999999999998</v>
      </c>
      <c r="E11" s="34">
        <v>42.039000000000001</v>
      </c>
      <c r="F11" s="34">
        <v>50.418999999999997</v>
      </c>
      <c r="G11" s="34">
        <v>48.115000000000002</v>
      </c>
      <c r="H11" s="34">
        <v>49.795999999999999</v>
      </c>
      <c r="I11" s="34">
        <v>42.341999999999999</v>
      </c>
      <c r="J11" s="34">
        <v>51.295999999999999</v>
      </c>
      <c r="K11" s="34">
        <v>53.286999999999999</v>
      </c>
      <c r="L11" s="34">
        <v>46.279000000000003</v>
      </c>
      <c r="M11" s="34">
        <v>54.085000000000001</v>
      </c>
      <c r="N11" s="34">
        <v>45.789000000000001</v>
      </c>
      <c r="O11" s="34">
        <v>52.86</v>
      </c>
      <c r="P11" s="34">
        <v>584.17999999999995</v>
      </c>
      <c r="R11" s="36"/>
    </row>
    <row r="12" spans="1:18" ht="18" customHeight="1" thickTop="1" thickBot="1">
      <c r="B12" s="260"/>
      <c r="C12" s="29" t="s">
        <v>16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spans="1:18" ht="18" customHeight="1" thickTop="1" thickBot="1">
      <c r="B13" s="260"/>
      <c r="C13" s="29" t="s">
        <v>8</v>
      </c>
      <c r="D13" s="34">
        <v>47.872999999999998</v>
      </c>
      <c r="E13" s="34">
        <v>42.039000000000001</v>
      </c>
      <c r="F13" s="34">
        <v>50.418999999999997</v>
      </c>
      <c r="G13" s="34">
        <v>48.115000000000002</v>
      </c>
      <c r="H13" s="34">
        <v>49.795999999999999</v>
      </c>
      <c r="I13" s="34">
        <v>42.341999999999999</v>
      </c>
      <c r="J13" s="34">
        <v>51.295999999999999</v>
      </c>
      <c r="K13" s="34">
        <v>53.286999999999999</v>
      </c>
      <c r="L13" s="34">
        <v>46.279000000000003</v>
      </c>
      <c r="M13" s="34">
        <v>54.085000000000001</v>
      </c>
      <c r="N13" s="34">
        <v>45.789000000000001</v>
      </c>
      <c r="O13" s="34">
        <v>52.86</v>
      </c>
      <c r="P13" s="34">
        <v>584.17999999999995</v>
      </c>
    </row>
    <row r="14" spans="1:18" ht="18" customHeight="1" thickTop="1" thickBot="1">
      <c r="B14" s="260"/>
      <c r="C14" s="32" t="s">
        <v>40</v>
      </c>
      <c r="D14" s="35">
        <v>-0.47608207934336527</v>
      </c>
      <c r="E14" s="35">
        <v>-0.38926096494414014</v>
      </c>
      <c r="F14" s="35">
        <v>4.410942450661632E-2</v>
      </c>
      <c r="G14" s="35">
        <v>-5.055547881682021E-2</v>
      </c>
      <c r="H14" s="35">
        <v>-5.6608063049408908E-2</v>
      </c>
      <c r="I14" s="35">
        <v>-0.50150694607958557</v>
      </c>
      <c r="J14" s="35">
        <v>-0.42341370201764744</v>
      </c>
      <c r="K14" s="35">
        <v>-0.21202218114602589</v>
      </c>
      <c r="L14" s="35">
        <v>-0.17831398032740312</v>
      </c>
      <c r="M14" s="35">
        <v>-2.3595465049104602E-2</v>
      </c>
      <c r="N14" s="35">
        <v>-0.11345815020619952</v>
      </c>
      <c r="O14" s="35">
        <v>8.2819509597066576E-2</v>
      </c>
      <c r="P14" s="35">
        <v>-0.23703223851591049</v>
      </c>
    </row>
    <row r="15" spans="1:18" ht="18" customHeight="1" thickTop="1" thickBot="1">
      <c r="B15" s="260" t="s">
        <v>2</v>
      </c>
      <c r="C15" s="29" t="s">
        <v>15</v>
      </c>
      <c r="D15" s="34">
        <v>14.695</v>
      </c>
      <c r="E15" s="34">
        <v>1.3919999999999999</v>
      </c>
      <c r="F15" s="34">
        <v>27.443000000000001</v>
      </c>
      <c r="G15" s="34">
        <v>29.582000000000001</v>
      </c>
      <c r="H15" s="34">
        <v>29.300999999999998</v>
      </c>
      <c r="I15" s="34">
        <v>23.934000000000001</v>
      </c>
      <c r="J15" s="34">
        <v>32.055999999999997</v>
      </c>
      <c r="K15" s="34">
        <v>13.667999999999999</v>
      </c>
      <c r="L15" s="34">
        <v>14.351000000000001</v>
      </c>
      <c r="M15" s="34">
        <v>15.069000000000001</v>
      </c>
      <c r="N15" s="34">
        <v>15.821999999999999</v>
      </c>
      <c r="O15" s="34">
        <v>16.613</v>
      </c>
      <c r="P15" s="34">
        <v>233.92599999999999</v>
      </c>
    </row>
    <row r="16" spans="1:18" ht="18" customHeight="1" thickTop="1" thickBot="1">
      <c r="B16" s="260"/>
      <c r="C16" s="29" t="s">
        <v>16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spans="2:16" ht="18" customHeight="1" thickTop="1" thickBot="1">
      <c r="B17" s="260"/>
      <c r="C17" s="29" t="s">
        <v>8</v>
      </c>
      <c r="D17" s="34">
        <v>14.695</v>
      </c>
      <c r="E17" s="34">
        <v>1.3919999999999999</v>
      </c>
      <c r="F17" s="34">
        <v>27.443000000000001</v>
      </c>
      <c r="G17" s="34">
        <v>29.582000000000001</v>
      </c>
      <c r="H17" s="34">
        <v>29.300999999999998</v>
      </c>
      <c r="I17" s="34">
        <v>23.934000000000001</v>
      </c>
      <c r="J17" s="34">
        <v>32.055999999999997</v>
      </c>
      <c r="K17" s="34">
        <v>13.667999999999999</v>
      </c>
      <c r="L17" s="34">
        <v>14.351000000000001</v>
      </c>
      <c r="M17" s="34">
        <v>15.069000000000001</v>
      </c>
      <c r="N17" s="34">
        <v>15.821999999999999</v>
      </c>
      <c r="O17" s="34">
        <v>16.613</v>
      </c>
      <c r="P17" s="34">
        <v>233.92599999999999</v>
      </c>
    </row>
    <row r="18" spans="2:16" ht="18" customHeight="1" thickTop="1" thickBot="1">
      <c r="B18" s="260"/>
      <c r="C18" s="32" t="s">
        <v>40</v>
      </c>
      <c r="D18" s="35">
        <v>-0.44513668630116299</v>
      </c>
      <c r="E18" s="35">
        <v>-0.92420777523685071</v>
      </c>
      <c r="F18" s="35">
        <v>8.5475832608179786E-2</v>
      </c>
      <c r="G18" s="35">
        <v>8.8614116434827458E-2</v>
      </c>
      <c r="H18" s="35">
        <v>5.9902333152468762E-2</v>
      </c>
      <c r="I18" s="35">
        <v>-8.0098393419940031E-2</v>
      </c>
      <c r="J18" s="35">
        <v>0.10809222579418573</v>
      </c>
      <c r="K18" s="35">
        <v>-0.51966262519768058</v>
      </c>
      <c r="L18" s="35">
        <v>-0.40301177253629517</v>
      </c>
      <c r="M18" s="35">
        <v>-0.37175852580672059</v>
      </c>
      <c r="N18" s="35">
        <v>-0.45094909254953675</v>
      </c>
      <c r="O18" s="35">
        <v>-0.24438278904757577</v>
      </c>
      <c r="P18" s="35">
        <v>-0.2384750358908917</v>
      </c>
    </row>
    <row r="19" spans="2:16" s="3" customFormat="1" ht="18" customHeight="1" thickTop="1" thickBot="1">
      <c r="B19" s="260" t="s">
        <v>43</v>
      </c>
      <c r="C19" s="29" t="s">
        <v>15</v>
      </c>
      <c r="D19" s="34">
        <v>449.75799999999998</v>
      </c>
      <c r="E19" s="34">
        <v>406.74</v>
      </c>
      <c r="F19" s="34">
        <v>460.71100000000001</v>
      </c>
      <c r="G19" s="34">
        <v>398.87700000000001</v>
      </c>
      <c r="H19" s="34">
        <v>432.58</v>
      </c>
      <c r="I19" s="34">
        <v>440.101</v>
      </c>
      <c r="J19" s="34">
        <v>399.43299999999999</v>
      </c>
      <c r="K19" s="34">
        <v>436.55500000000001</v>
      </c>
      <c r="L19" s="34">
        <v>454.40199999999999</v>
      </c>
      <c r="M19" s="34">
        <v>446.67399999999998</v>
      </c>
      <c r="N19" s="34">
        <v>373.37400000000002</v>
      </c>
      <c r="O19" s="34">
        <v>417.14600000000002</v>
      </c>
      <c r="P19" s="34">
        <v>5116.3509999999997</v>
      </c>
    </row>
    <row r="20" spans="2:16" s="3" customFormat="1" ht="18" customHeight="1" thickTop="1" thickBot="1">
      <c r="B20" s="260"/>
      <c r="C20" s="29" t="s">
        <v>16</v>
      </c>
      <c r="D20" s="34">
        <v>554.447</v>
      </c>
      <c r="E20" s="34">
        <v>489.113</v>
      </c>
      <c r="F20" s="34">
        <v>538.95799999999997</v>
      </c>
      <c r="G20" s="34">
        <v>489.23599999999999</v>
      </c>
      <c r="H20" s="34">
        <v>486.95299999999997</v>
      </c>
      <c r="I20" s="34">
        <v>500.983</v>
      </c>
      <c r="J20" s="34">
        <v>469.18599999999998</v>
      </c>
      <c r="K20" s="34">
        <v>523.99800000000005</v>
      </c>
      <c r="L20" s="34">
        <v>522.14099999999996</v>
      </c>
      <c r="M20" s="34">
        <v>491.601</v>
      </c>
      <c r="N20" s="34">
        <v>430.73399999999998</v>
      </c>
      <c r="O20" s="34">
        <v>481.26600000000002</v>
      </c>
      <c r="P20" s="34">
        <v>5978.616</v>
      </c>
    </row>
    <row r="21" spans="2:16" s="3" customFormat="1" ht="18" customHeight="1" thickTop="1" thickBot="1">
      <c r="B21" s="260"/>
      <c r="C21" s="29" t="s">
        <v>8</v>
      </c>
      <c r="D21" s="34">
        <v>1004.2049999999999</v>
      </c>
      <c r="E21" s="34">
        <v>895.85300000000007</v>
      </c>
      <c r="F21" s="34">
        <v>999.66899999999998</v>
      </c>
      <c r="G21" s="34">
        <v>888.11300000000006</v>
      </c>
      <c r="H21" s="34">
        <v>919.5329999999999</v>
      </c>
      <c r="I21" s="34">
        <v>941.08400000000006</v>
      </c>
      <c r="J21" s="34">
        <v>868.61899999999991</v>
      </c>
      <c r="K21" s="34">
        <v>960.55300000000011</v>
      </c>
      <c r="L21" s="34">
        <v>976.54299999999989</v>
      </c>
      <c r="M21" s="34">
        <v>938.27499999999998</v>
      </c>
      <c r="N21" s="34">
        <v>804.10799999999995</v>
      </c>
      <c r="O21" s="34">
        <v>898.41200000000003</v>
      </c>
      <c r="P21" s="34">
        <v>11094.966999999999</v>
      </c>
    </row>
    <row r="22" spans="2:16" s="3" customFormat="1" ht="18" customHeight="1" thickTop="1" thickBot="1">
      <c r="B22" s="260"/>
      <c r="C22" s="32" t="s">
        <v>40</v>
      </c>
      <c r="D22" s="35">
        <v>3.549880952258188E-2</v>
      </c>
      <c r="E22" s="35">
        <v>4.8873095971245124E-2</v>
      </c>
      <c r="F22" s="35">
        <v>2.2332057040473318E-2</v>
      </c>
      <c r="G22" s="35">
        <v>0.10419653192126892</v>
      </c>
      <c r="H22" s="35">
        <v>2.6448948974090166E-2</v>
      </c>
      <c r="I22" s="35">
        <v>0.20494379778212829</v>
      </c>
      <c r="J22" s="35">
        <v>-0.13679931072656945</v>
      </c>
      <c r="K22" s="35">
        <v>-4.3671104730405606E-2</v>
      </c>
      <c r="L22" s="35">
        <v>9.5631578829268343E-2</v>
      </c>
      <c r="M22" s="35">
        <v>-5.6365154075146799E-2</v>
      </c>
      <c r="N22" s="35">
        <v>-0.11649396297024731</v>
      </c>
      <c r="O22" s="35">
        <v>-2.5321344569905917E-2</v>
      </c>
      <c r="P22" s="35">
        <v>7.6174104818494716E-3</v>
      </c>
    </row>
    <row r="23" spans="2:16" ht="18" customHeight="1" thickTop="1" thickBot="1">
      <c r="B23" s="260" t="s">
        <v>6</v>
      </c>
      <c r="C23" s="29" t="s">
        <v>15</v>
      </c>
      <c r="D23" s="34">
        <v>1.5860455000000002</v>
      </c>
      <c r="E23" s="34">
        <v>4.9162106000000012</v>
      </c>
      <c r="F23" s="34">
        <v>5.1623393999999996</v>
      </c>
      <c r="G23" s="34">
        <v>5.4201381</v>
      </c>
      <c r="H23" s="34">
        <v>5.6906676000000003</v>
      </c>
      <c r="I23" s="34">
        <v>5.9749888000000002</v>
      </c>
      <c r="J23" s="34">
        <v>6.2741626000000004</v>
      </c>
      <c r="K23" s="34">
        <v>6.5881889999999999</v>
      </c>
      <c r="L23" s="34">
        <v>6.9181289000000001</v>
      </c>
      <c r="M23" s="34">
        <v>7.2639823000000012</v>
      </c>
      <c r="N23" s="34">
        <v>7.6268101000000001</v>
      </c>
      <c r="O23" s="34">
        <v>8.007673200000001</v>
      </c>
      <c r="P23" s="34">
        <v>71.429336100000015</v>
      </c>
    </row>
    <row r="24" spans="2:16" ht="18" customHeight="1" thickTop="1" thickBot="1">
      <c r="B24" s="260"/>
      <c r="C24" s="29" t="s">
        <v>16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2:16" ht="18" customHeight="1" thickTop="1" thickBot="1">
      <c r="B25" s="260"/>
      <c r="C25" s="29" t="s">
        <v>8</v>
      </c>
      <c r="D25" s="34">
        <v>1.5860455000000002</v>
      </c>
      <c r="E25" s="34">
        <v>4.9162106000000012</v>
      </c>
      <c r="F25" s="34">
        <v>5.1623393999999996</v>
      </c>
      <c r="G25" s="34">
        <v>5.4201381</v>
      </c>
      <c r="H25" s="34">
        <v>5.6906676000000003</v>
      </c>
      <c r="I25" s="34">
        <v>5.9749888000000002</v>
      </c>
      <c r="J25" s="34">
        <v>6.2741626000000004</v>
      </c>
      <c r="K25" s="34">
        <v>6.5881889999999999</v>
      </c>
      <c r="L25" s="34">
        <v>6.9181289000000001</v>
      </c>
      <c r="M25" s="34">
        <v>7.2639823000000012</v>
      </c>
      <c r="N25" s="34">
        <v>7.6268101000000001</v>
      </c>
      <c r="O25" s="34">
        <v>8.007673200000001</v>
      </c>
      <c r="P25" s="34">
        <v>71.429336100000015</v>
      </c>
    </row>
    <row r="26" spans="2:16" ht="18" customHeight="1" thickTop="1" thickBot="1">
      <c r="B26" s="260"/>
      <c r="C26" s="32" t="s">
        <v>40</v>
      </c>
      <c r="D26" s="35">
        <v>3.0000000000000034E-2</v>
      </c>
      <c r="E26" s="35">
        <v>3.00000000000001E-2</v>
      </c>
      <c r="F26" s="35">
        <v>3.0000000000000034E-2</v>
      </c>
      <c r="G26" s="35">
        <v>2.9999999999999992E-2</v>
      </c>
      <c r="H26" s="35">
        <v>3.0000000000000079E-2</v>
      </c>
      <c r="I26" s="35">
        <v>3.0000000000000054E-2</v>
      </c>
      <c r="J26" s="35">
        <v>3.0000000000000013E-2</v>
      </c>
      <c r="K26" s="35">
        <v>2.9999999999999961E-2</v>
      </c>
      <c r="L26" s="35">
        <v>2.9999999999999971E-2</v>
      </c>
      <c r="M26" s="35">
        <v>3.0000000000000034E-2</v>
      </c>
      <c r="N26" s="35">
        <v>2.9999999999999978E-2</v>
      </c>
      <c r="O26" s="35">
        <v>3.0000000000000103E-2</v>
      </c>
      <c r="P26" s="35">
        <v>2.9999999999999923E-2</v>
      </c>
    </row>
    <row r="27" spans="2:16" s="3" customFormat="1" ht="18" customHeight="1" thickTop="1" thickBot="1">
      <c r="B27" s="261" t="s">
        <v>44</v>
      </c>
      <c r="C27" s="29" t="s">
        <v>15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0">
        <v>0</v>
      </c>
      <c r="N27" s="30">
        <v>0</v>
      </c>
      <c r="O27" s="30">
        <v>0</v>
      </c>
      <c r="P27" s="34">
        <v>0</v>
      </c>
    </row>
    <row r="28" spans="2:16" s="3" customFormat="1" ht="18" customHeight="1" thickTop="1" thickBot="1">
      <c r="B28" s="261"/>
      <c r="C28" s="29" t="s">
        <v>16</v>
      </c>
      <c r="D28" s="34">
        <v>8.8130000000000006</v>
      </c>
      <c r="E28" s="34">
        <v>7.0449999999999999</v>
      </c>
      <c r="F28" s="34">
        <v>8.6709999999999994</v>
      </c>
      <c r="G28" s="34">
        <v>8.1050000000000004</v>
      </c>
      <c r="H28" s="34">
        <v>8.2989999999999995</v>
      </c>
      <c r="I28" s="34">
        <v>6.1230000000000002</v>
      </c>
      <c r="J28" s="34">
        <v>5.9779999999999998</v>
      </c>
      <c r="K28" s="34">
        <v>6.5410000000000004</v>
      </c>
      <c r="L28" s="34">
        <v>8.2729999999999997</v>
      </c>
      <c r="M28" s="34">
        <v>6.1479999999999997</v>
      </c>
      <c r="N28" s="34">
        <v>7.3380000000000001</v>
      </c>
      <c r="O28" s="34">
        <v>7.157</v>
      </c>
      <c r="P28" s="34">
        <v>88.490999999999985</v>
      </c>
    </row>
    <row r="29" spans="2:16" s="3" customFormat="1" ht="18" customHeight="1" thickTop="1" thickBot="1">
      <c r="B29" s="261"/>
      <c r="C29" s="29" t="s">
        <v>8</v>
      </c>
      <c r="D29" s="34">
        <v>8.8130000000000006</v>
      </c>
      <c r="E29" s="34">
        <v>7.0449999999999999</v>
      </c>
      <c r="F29" s="34">
        <v>8.6709999999999994</v>
      </c>
      <c r="G29" s="34">
        <v>8.1050000000000004</v>
      </c>
      <c r="H29" s="34">
        <v>8.2989999999999995</v>
      </c>
      <c r="I29" s="34">
        <v>6.1230000000000002</v>
      </c>
      <c r="J29" s="34">
        <v>5.9779999999999998</v>
      </c>
      <c r="K29" s="34">
        <v>6.5410000000000004</v>
      </c>
      <c r="L29" s="34">
        <v>8.2729999999999997</v>
      </c>
      <c r="M29" s="34">
        <v>6.1479999999999997</v>
      </c>
      <c r="N29" s="34">
        <v>7.3380000000000001</v>
      </c>
      <c r="O29" s="34">
        <v>7.157</v>
      </c>
      <c r="P29" s="34">
        <v>88.490999999999985</v>
      </c>
    </row>
    <row r="30" spans="2:16" s="3" customFormat="1" ht="18" customHeight="1" thickTop="1" thickBot="1">
      <c r="B30" s="261"/>
      <c r="C30" s="32" t="s">
        <v>40</v>
      </c>
      <c r="D30" s="35">
        <v>0.10066192081928325</v>
      </c>
      <c r="E30" s="35">
        <v>-0.13896357858714256</v>
      </c>
      <c r="F30" s="35">
        <v>0.3151827696041255</v>
      </c>
      <c r="G30" s="35">
        <v>-0.16105993168409061</v>
      </c>
      <c r="H30" s="35">
        <v>0.50726480203414437</v>
      </c>
      <c r="I30" s="35">
        <v>-0.21580430327868849</v>
      </c>
      <c r="J30" s="35">
        <v>-0.189533622559653</v>
      </c>
      <c r="K30" s="35">
        <v>-0.11055208050040791</v>
      </c>
      <c r="L30" s="35">
        <v>-1.8274593568292384E-2</v>
      </c>
      <c r="M30" s="35">
        <v>-0.24070643448190687</v>
      </c>
      <c r="N30" s="35">
        <v>-8.9239170907285628E-2</v>
      </c>
      <c r="O30" s="35">
        <v>-5.1550490326000557E-2</v>
      </c>
      <c r="P30" s="35">
        <v>-4.4518107413566037E-2</v>
      </c>
    </row>
    <row r="31" spans="2:16" s="3" customFormat="1" ht="18" customHeight="1" thickTop="1" thickBot="1">
      <c r="B31" s="261" t="s">
        <v>62</v>
      </c>
      <c r="C31" s="29" t="s">
        <v>15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/>
      <c r="P31" s="34">
        <v>0</v>
      </c>
    </row>
    <row r="32" spans="2:16" s="3" customFormat="1" ht="18" customHeight="1" thickTop="1" thickBot="1">
      <c r="B32" s="261"/>
      <c r="C32" s="29" t="s">
        <v>16</v>
      </c>
      <c r="D32" s="34">
        <v>136.22698630000002</v>
      </c>
      <c r="E32" s="34">
        <v>143.03796430000003</v>
      </c>
      <c r="F32" s="34">
        <v>150.18949120000002</v>
      </c>
      <c r="G32" s="34">
        <v>157.69854140000001</v>
      </c>
      <c r="H32" s="34">
        <v>165.58315020000001</v>
      </c>
      <c r="I32" s="34">
        <v>173.86241380000001</v>
      </c>
      <c r="J32" s="34">
        <v>182.55542840000001</v>
      </c>
      <c r="K32" s="34">
        <v>191.683412</v>
      </c>
      <c r="L32" s="34">
        <v>201.2675826</v>
      </c>
      <c r="M32" s="34">
        <v>211.33127999999999</v>
      </c>
      <c r="N32" s="34">
        <v>221.89784399999999</v>
      </c>
      <c r="O32" s="34">
        <v>232.9927362</v>
      </c>
      <c r="P32" s="34">
        <v>2168.3268304000003</v>
      </c>
    </row>
    <row r="33" spans="2:18" s="3" customFormat="1" ht="18" customHeight="1" thickTop="1" thickBot="1">
      <c r="B33" s="261"/>
      <c r="C33" s="29" t="s">
        <v>8</v>
      </c>
      <c r="D33" s="34">
        <v>136.22698630000002</v>
      </c>
      <c r="E33" s="34">
        <v>143.03796430000003</v>
      </c>
      <c r="F33" s="34">
        <v>150.18949120000002</v>
      </c>
      <c r="G33" s="34">
        <v>157.69854140000001</v>
      </c>
      <c r="H33" s="34">
        <v>165.58315020000001</v>
      </c>
      <c r="I33" s="34">
        <v>173.86241380000001</v>
      </c>
      <c r="J33" s="34">
        <v>182.55542840000001</v>
      </c>
      <c r="K33" s="34">
        <v>191.683412</v>
      </c>
      <c r="L33" s="34">
        <v>201.2675826</v>
      </c>
      <c r="M33" s="34">
        <v>211.33127999999999</v>
      </c>
      <c r="N33" s="34">
        <v>221.89784399999999</v>
      </c>
      <c r="O33" s="34">
        <v>232.9927362</v>
      </c>
      <c r="P33" s="34">
        <v>2168.3268304000003</v>
      </c>
    </row>
    <row r="34" spans="2:18" s="3" customFormat="1" ht="18" customHeight="1" thickTop="1" thickBot="1">
      <c r="B34" s="261"/>
      <c r="C34" s="32" t="s">
        <v>40</v>
      </c>
      <c r="D34" s="35">
        <v>2.9999999999999971E-2</v>
      </c>
      <c r="E34" s="35">
        <v>3.0000000000000117E-2</v>
      </c>
      <c r="F34" s="35">
        <v>3.0000000000000065E-2</v>
      </c>
      <c r="G34" s="35">
        <v>3.0000000000000093E-2</v>
      </c>
      <c r="H34" s="35">
        <v>2.999999999999995E-2</v>
      </c>
      <c r="I34" s="35">
        <v>3.0000000000000041E-2</v>
      </c>
      <c r="J34" s="35">
        <v>3.0000000000000044E-2</v>
      </c>
      <c r="K34" s="35">
        <v>2.9999999999999982E-2</v>
      </c>
      <c r="L34" s="35">
        <v>3.0000000000000027E-2</v>
      </c>
      <c r="M34" s="35">
        <v>3.0000000000000027E-2</v>
      </c>
      <c r="N34" s="35">
        <v>2.9999999999999985E-2</v>
      </c>
      <c r="O34" s="35">
        <v>3.000000000000003E-2</v>
      </c>
      <c r="P34" s="35">
        <v>3.0000000000000176E-2</v>
      </c>
    </row>
    <row r="35" spans="2:18" s="3" customFormat="1" ht="18" customHeight="1" thickTop="1" thickBot="1">
      <c r="B35" s="260" t="s">
        <v>3</v>
      </c>
      <c r="C35" s="29" t="s">
        <v>15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</row>
    <row r="36" spans="2:18" s="3" customFormat="1" ht="18" customHeight="1" thickTop="1" thickBot="1">
      <c r="B36" s="260"/>
      <c r="C36" s="29" t="s">
        <v>16</v>
      </c>
      <c r="D36" s="34">
        <v>164.911</v>
      </c>
      <c r="E36" s="34">
        <v>106.05800000000001</v>
      </c>
      <c r="F36" s="34">
        <v>78.503</v>
      </c>
      <c r="G36" s="34">
        <v>136.33699999999999</v>
      </c>
      <c r="H36" s="34">
        <v>89.152000000000001</v>
      </c>
      <c r="I36" s="34">
        <v>108.627</v>
      </c>
      <c r="J36" s="34">
        <v>74.641000000000005</v>
      </c>
      <c r="K36" s="34">
        <v>81.403999999999996</v>
      </c>
      <c r="L36" s="34">
        <v>147.75299999999999</v>
      </c>
      <c r="M36" s="34">
        <v>139.74299999999999</v>
      </c>
      <c r="N36" s="34">
        <v>148.15600000000001</v>
      </c>
      <c r="O36" s="34">
        <v>126.56100000000001</v>
      </c>
      <c r="P36" s="34">
        <v>1401.8459999999998</v>
      </c>
    </row>
    <row r="37" spans="2:18" s="3" customFormat="1" ht="18" customHeight="1" thickTop="1" thickBot="1">
      <c r="B37" s="260"/>
      <c r="C37" s="29" t="s">
        <v>8</v>
      </c>
      <c r="D37" s="34">
        <v>164.911</v>
      </c>
      <c r="E37" s="34">
        <v>106.05800000000001</v>
      </c>
      <c r="F37" s="34">
        <v>78.503</v>
      </c>
      <c r="G37" s="34">
        <v>136.33699999999999</v>
      </c>
      <c r="H37" s="34">
        <v>89.152000000000001</v>
      </c>
      <c r="I37" s="34">
        <v>108.627</v>
      </c>
      <c r="J37" s="34">
        <v>74.641000000000005</v>
      </c>
      <c r="K37" s="34">
        <v>81.403999999999996</v>
      </c>
      <c r="L37" s="34">
        <v>147.75299999999999</v>
      </c>
      <c r="M37" s="34">
        <v>139.74299999999999</v>
      </c>
      <c r="N37" s="34">
        <v>148.15600000000001</v>
      </c>
      <c r="O37" s="34">
        <v>126.56100000000001</v>
      </c>
      <c r="P37" s="34">
        <v>1401.8459999999998</v>
      </c>
    </row>
    <row r="38" spans="2:18" s="3" customFormat="1" ht="18" customHeight="1" thickTop="1" thickBot="1">
      <c r="B38" s="260"/>
      <c r="C38" s="32" t="s">
        <v>40</v>
      </c>
      <c r="D38" s="35">
        <v>-0.33593866399288058</v>
      </c>
      <c r="E38" s="35">
        <v>-0.65226087156098667</v>
      </c>
      <c r="F38" s="35">
        <v>-0.67669358724615247</v>
      </c>
      <c r="G38" s="35">
        <v>-0.56994331605792681</v>
      </c>
      <c r="H38" s="35">
        <v>-0.70577189004729324</v>
      </c>
      <c r="I38" s="35">
        <v>-0.72337440092083749</v>
      </c>
      <c r="J38" s="35">
        <v>-0.73723416614154103</v>
      </c>
      <c r="K38" s="35">
        <v>-0.7039779194379493</v>
      </c>
      <c r="L38" s="35">
        <v>-3.7546330373834882E-2</v>
      </c>
      <c r="M38" s="35">
        <v>0.73378411910669983</v>
      </c>
      <c r="N38" s="35">
        <v>0.61151235642185864</v>
      </c>
      <c r="O38" s="35">
        <v>2.8637501526437905</v>
      </c>
      <c r="P38" s="35">
        <v>-0.48588447486608421</v>
      </c>
    </row>
    <row r="39" spans="2:18" s="3" customFormat="1" ht="18" customHeight="1" thickTop="1">
      <c r="B39" s="262" t="s">
        <v>63</v>
      </c>
      <c r="C39" s="29" t="s">
        <v>15</v>
      </c>
      <c r="D39" s="34">
        <f>+D3+D7+D11+D15+D19+D23+D27+D31+D35</f>
        <v>2854.9120455000002</v>
      </c>
      <c r="E39" s="34">
        <f t="shared" ref="E39:O40" si="0">+E3+E7+E11+E15+E19+E23+E27+E31+E35</f>
        <v>2611.0872106000002</v>
      </c>
      <c r="F39" s="34">
        <f t="shared" si="0"/>
        <v>3009.7353394000002</v>
      </c>
      <c r="G39" s="34">
        <f>+G3+G7+G11+G15+G19+G23+G27+G31+G35</f>
        <v>2783.9941380999994</v>
      </c>
      <c r="H39" s="34">
        <f>+H3+H7+H11+H15+H19+H23+H27+H31+H35</f>
        <v>2937.3676675999995</v>
      </c>
      <c r="I39" s="34">
        <f t="shared" si="0"/>
        <v>2940.3519888000005</v>
      </c>
      <c r="J39" s="34">
        <f t="shared" si="0"/>
        <v>3083.0591626</v>
      </c>
      <c r="K39" s="34">
        <f t="shared" si="0"/>
        <v>3190.0981889999998</v>
      </c>
      <c r="L39" s="34">
        <f t="shared" si="0"/>
        <v>3165.9501289</v>
      </c>
      <c r="M39" s="34">
        <f t="shared" si="0"/>
        <v>3193.0919822999999</v>
      </c>
      <c r="N39" s="34">
        <f t="shared" si="0"/>
        <v>2833.6118101000006</v>
      </c>
      <c r="O39" s="34">
        <f t="shared" si="0"/>
        <v>3184.6266732000004</v>
      </c>
      <c r="P39" s="34">
        <f>SUM(D39:O39)</f>
        <v>35787.886336099997</v>
      </c>
    </row>
    <row r="40" spans="2:18" s="3" customFormat="1" ht="18" customHeight="1">
      <c r="B40" s="263"/>
      <c r="C40" s="29" t="s">
        <v>16</v>
      </c>
      <c r="D40" s="34">
        <f>+D4+D8+D12+D16+D20+D24+D28+D32+D36</f>
        <v>1019.3979863</v>
      </c>
      <c r="E40" s="34">
        <f t="shared" si="0"/>
        <v>892.25396430000001</v>
      </c>
      <c r="F40" s="34">
        <f t="shared" si="0"/>
        <v>945.32149120000008</v>
      </c>
      <c r="G40" s="34">
        <f t="shared" si="0"/>
        <v>954.37654139999995</v>
      </c>
      <c r="H40" s="34">
        <f t="shared" si="0"/>
        <v>907.98715019999997</v>
      </c>
      <c r="I40" s="34">
        <f t="shared" si="0"/>
        <v>910.59541379999996</v>
      </c>
      <c r="J40" s="34">
        <f t="shared" si="0"/>
        <v>833.36042839999982</v>
      </c>
      <c r="K40" s="34">
        <f t="shared" si="0"/>
        <v>904.62641200000007</v>
      </c>
      <c r="L40" s="34">
        <f t="shared" si="0"/>
        <v>978.43458259999989</v>
      </c>
      <c r="M40" s="34">
        <f t="shared" si="0"/>
        <v>980.82328000000007</v>
      </c>
      <c r="N40" s="34">
        <f t="shared" si="0"/>
        <v>965.12584399999992</v>
      </c>
      <c r="O40" s="34">
        <f t="shared" si="0"/>
        <v>1005.9767362000001</v>
      </c>
      <c r="P40" s="34">
        <f>SUM(D40:O40)</f>
        <v>11298.279830399999</v>
      </c>
    </row>
    <row r="41" spans="2:18" s="3" customFormat="1" ht="18" customHeight="1">
      <c r="B41" s="263"/>
      <c r="C41" s="29" t="s">
        <v>8</v>
      </c>
      <c r="D41" s="34">
        <f>+D39+D40</f>
        <v>3874.3100318000002</v>
      </c>
      <c r="E41" s="34">
        <f t="shared" ref="E41:O41" si="1">+E39+E40</f>
        <v>3503.3411749000002</v>
      </c>
      <c r="F41" s="34">
        <f t="shared" si="1"/>
        <v>3955.0568306000005</v>
      </c>
      <c r="G41" s="34">
        <f t="shared" si="1"/>
        <v>3738.3706794999994</v>
      </c>
      <c r="H41" s="34">
        <f t="shared" si="1"/>
        <v>3845.3548177999996</v>
      </c>
      <c r="I41" s="34">
        <f t="shared" si="1"/>
        <v>3850.9474026000007</v>
      </c>
      <c r="J41" s="34">
        <f t="shared" si="1"/>
        <v>3916.4195909999999</v>
      </c>
      <c r="K41" s="34">
        <f t="shared" si="1"/>
        <v>4094.7246009999999</v>
      </c>
      <c r="L41" s="34">
        <f t="shared" si="1"/>
        <v>4144.3847114999999</v>
      </c>
      <c r="M41" s="34">
        <f t="shared" si="1"/>
        <v>4173.9152623</v>
      </c>
      <c r="N41" s="34">
        <f t="shared" si="1"/>
        <v>3798.7376541000003</v>
      </c>
      <c r="O41" s="34">
        <f t="shared" si="1"/>
        <v>4190.6034094000006</v>
      </c>
      <c r="P41" s="34">
        <f>SUM(D41:O41)</f>
        <v>47086.166166499999</v>
      </c>
    </row>
    <row r="42" spans="2:18" s="3" customFormat="1" ht="18" customHeight="1" thickBot="1">
      <c r="B42" s="264"/>
      <c r="C42" s="32" t="s">
        <v>40</v>
      </c>
      <c r="D42" s="35">
        <v>-1.4429849744867176E-2</v>
      </c>
      <c r="E42" s="35">
        <v>-5.0896484582539925E-2</v>
      </c>
      <c r="F42" s="35">
        <v>-1.0822641341312144E-2</v>
      </c>
      <c r="G42" s="35">
        <v>-6.1197202760057891E-2</v>
      </c>
      <c r="H42" s="35">
        <v>-5.7779519951824246E-2</v>
      </c>
      <c r="I42" s="35">
        <v>-1.5411609170654272E-2</v>
      </c>
      <c r="J42" s="35">
        <v>-4.8446709124809882E-2</v>
      </c>
      <c r="K42" s="35">
        <v>-2.0086954532400225E-2</v>
      </c>
      <c r="L42" s="35">
        <v>5.7155043249495198E-2</v>
      </c>
      <c r="M42" s="35">
        <v>3.4695532796762428E-2</v>
      </c>
      <c r="N42" s="35">
        <v>4.8280128647155271E-3</v>
      </c>
      <c r="O42" s="35">
        <v>8.2405747153198497E-2</v>
      </c>
      <c r="P42" s="35">
        <v>-1.0518400122272661E-2</v>
      </c>
      <c r="R42" s="44"/>
    </row>
    <row r="43" spans="2:18" ht="13.5" thickTop="1">
      <c r="B43" s="28"/>
    </row>
    <row r="44" spans="2:18">
      <c r="B44" s="25" t="s">
        <v>19</v>
      </c>
      <c r="C44" s="25" t="s">
        <v>19</v>
      </c>
    </row>
    <row r="45" spans="2:18">
      <c r="B45" s="26" t="s">
        <v>12</v>
      </c>
      <c r="C45" s="26" t="s">
        <v>12</v>
      </c>
    </row>
    <row r="46" spans="2:18">
      <c r="J46" s="7"/>
    </row>
  </sheetData>
  <mergeCells count="10">
    <mergeCell ref="B27:B30"/>
    <mergeCell ref="B31:B34"/>
    <mergeCell ref="B35:B38"/>
    <mergeCell ref="B39:B42"/>
    <mergeCell ref="B3:B6"/>
    <mergeCell ref="B7:B10"/>
    <mergeCell ref="B11:B14"/>
    <mergeCell ref="B15:B18"/>
    <mergeCell ref="B19:B22"/>
    <mergeCell ref="B23:B26"/>
  </mergeCells>
  <hyperlinks>
    <hyperlink ref="P1" location="Índice!A1" display="Índice" xr:uid="{00000000-0004-0000-0E00-000000000000}"/>
  </hyperlinks>
  <pageMargins left="0.7" right="0.7" top="0.75" bottom="0.75" header="0.3" footer="0.3"/>
  <pageSetup paperSize="9" orientation="portrait" horizontalDpi="4294967293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V130"/>
  <sheetViews>
    <sheetView topLeftCell="D59" zoomScale="70" zoomScaleNormal="70" zoomScaleSheetLayoutView="90" workbookViewId="0">
      <selection activeCell="S83" sqref="S83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5" width="13.7109375" style="2" customWidth="1"/>
    <col min="6" max="15" width="13.7109375" style="36" customWidth="1"/>
    <col min="16" max="16" width="13.7109375" style="2" customWidth="1"/>
    <col min="17" max="17" width="6.5703125" style="2" customWidth="1"/>
    <col min="18" max="18" width="11.42578125" style="2"/>
    <col min="19" max="19" width="13.42578125" style="2" bestFit="1" customWidth="1"/>
    <col min="20" max="16384" width="11.42578125" style="2"/>
  </cols>
  <sheetData>
    <row r="1" spans="2:20" s="8" customFormat="1" ht="38.25" customHeight="1" thickBot="1">
      <c r="B1" s="22" t="s">
        <v>182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87" t="s">
        <v>111</v>
      </c>
    </row>
    <row r="2" spans="2:20" ht="30" customHeight="1" thickTop="1">
      <c r="B2" s="33" t="s">
        <v>36</v>
      </c>
      <c r="C2" s="21" t="s">
        <v>23</v>
      </c>
      <c r="D2" s="158" t="s">
        <v>27</v>
      </c>
      <c r="E2" s="158" t="s">
        <v>28</v>
      </c>
      <c r="F2" s="158" t="s">
        <v>26</v>
      </c>
      <c r="G2" s="158" t="s">
        <v>22</v>
      </c>
      <c r="H2" s="158" t="s">
        <v>29</v>
      </c>
      <c r="I2" s="158" t="s">
        <v>30</v>
      </c>
      <c r="J2" s="158" t="s">
        <v>31</v>
      </c>
      <c r="K2" s="158" t="s">
        <v>32</v>
      </c>
      <c r="L2" s="158" t="s">
        <v>33</v>
      </c>
      <c r="M2" s="158" t="s">
        <v>24</v>
      </c>
      <c r="N2" s="158" t="s">
        <v>34</v>
      </c>
      <c r="O2" s="158" t="s">
        <v>35</v>
      </c>
      <c r="P2" s="158" t="s">
        <v>25</v>
      </c>
    </row>
    <row r="3" spans="2:20" ht="18" customHeight="1">
      <c r="B3" s="265" t="s">
        <v>0</v>
      </c>
      <c r="C3" s="29" t="s">
        <v>65</v>
      </c>
      <c r="D3" s="171">
        <v>105.53700000000001</v>
      </c>
      <c r="E3" s="171">
        <v>158.77099999999999</v>
      </c>
      <c r="F3" s="171">
        <v>187.815</v>
      </c>
      <c r="G3" s="171">
        <v>171.19399999999999</v>
      </c>
      <c r="H3" s="171">
        <v>162.97999999999999</v>
      </c>
      <c r="I3" s="171">
        <v>159.47300000000001</v>
      </c>
      <c r="J3" s="171">
        <v>151.08799999999999</v>
      </c>
      <c r="K3" s="171">
        <v>159.672</v>
      </c>
      <c r="L3" s="171">
        <v>145.03800000000001</v>
      </c>
      <c r="M3" s="34">
        <v>144.06100000000001</v>
      </c>
      <c r="N3" s="34">
        <v>163.35</v>
      </c>
      <c r="O3" s="34">
        <v>95.307000000000002</v>
      </c>
      <c r="P3" s="34">
        <f>SUM(D3:O3)</f>
        <v>1804.2859999999998</v>
      </c>
      <c r="Q3" s="229"/>
    </row>
    <row r="4" spans="2:20" ht="18" customHeight="1">
      <c r="B4" s="257"/>
      <c r="C4" s="29" t="s">
        <v>59</v>
      </c>
      <c r="D4" s="171">
        <v>235.11699999999999</v>
      </c>
      <c r="E4" s="171">
        <v>213.27600000000001</v>
      </c>
      <c r="F4" s="171">
        <v>201.602</v>
      </c>
      <c r="G4" s="171">
        <v>192.447</v>
      </c>
      <c r="H4" s="171">
        <v>195.465</v>
      </c>
      <c r="I4" s="171">
        <v>153.48400000000001</v>
      </c>
      <c r="J4" s="171">
        <v>178.14699999999999</v>
      </c>
      <c r="K4" s="171">
        <v>207.00299999999999</v>
      </c>
      <c r="L4" s="171">
        <v>196</v>
      </c>
      <c r="M4" s="34">
        <v>190.91499999999999</v>
      </c>
      <c r="N4" s="34">
        <v>159.97200000000001</v>
      </c>
      <c r="O4" s="34">
        <v>147.23099999999999</v>
      </c>
      <c r="P4" s="34">
        <f>SUM(D4:O4)</f>
        <v>2270.6589999999997</v>
      </c>
      <c r="Q4" s="229"/>
    </row>
    <row r="5" spans="2:20" ht="18" customHeight="1">
      <c r="B5" s="257"/>
      <c r="C5" s="29" t="s">
        <v>60</v>
      </c>
      <c r="D5" s="171">
        <v>38.942</v>
      </c>
      <c r="E5" s="171">
        <v>44.561</v>
      </c>
      <c r="F5" s="171">
        <v>69.718000000000004</v>
      </c>
      <c r="G5" s="171">
        <v>66.182000000000002</v>
      </c>
      <c r="H5" s="171">
        <v>53.295999999999999</v>
      </c>
      <c r="I5" s="171">
        <v>54.802</v>
      </c>
      <c r="J5" s="171">
        <v>65.929000000000002</v>
      </c>
      <c r="K5" s="171">
        <v>71.802999999999997</v>
      </c>
      <c r="L5" s="171">
        <v>60</v>
      </c>
      <c r="M5" s="34">
        <v>63.633000000000003</v>
      </c>
      <c r="N5" s="34">
        <v>58.735999999999997</v>
      </c>
      <c r="O5" s="34">
        <v>40.737000000000002</v>
      </c>
      <c r="P5" s="34">
        <f>SUM(D5:O5)</f>
        <v>688.33900000000006</v>
      </c>
      <c r="Q5" s="229"/>
    </row>
    <row r="6" spans="2:20" ht="18" customHeight="1">
      <c r="B6" s="257"/>
      <c r="C6" s="29" t="s">
        <v>139</v>
      </c>
      <c r="D6" s="34">
        <f>+D3+D4+D5</f>
        <v>379.596</v>
      </c>
      <c r="E6" s="34">
        <f>+E3+E4+E5</f>
        <v>416.608</v>
      </c>
      <c r="F6" s="34">
        <f t="shared" ref="F6:O6" si="0">+F3+F4+F5</f>
        <v>459.13500000000005</v>
      </c>
      <c r="G6" s="34">
        <f t="shared" si="0"/>
        <v>429.82299999999998</v>
      </c>
      <c r="H6" s="34">
        <f>+H3+H4+H5</f>
        <v>411.74099999999999</v>
      </c>
      <c r="I6" s="34">
        <f t="shared" si="0"/>
        <v>367.75900000000001</v>
      </c>
      <c r="J6" s="34">
        <f t="shared" si="0"/>
        <v>395.16399999999999</v>
      </c>
      <c r="K6" s="34">
        <f t="shared" si="0"/>
        <v>438.47799999999995</v>
      </c>
      <c r="L6" s="34">
        <f t="shared" si="0"/>
        <v>401.03800000000001</v>
      </c>
      <c r="M6" s="34">
        <f t="shared" si="0"/>
        <v>398.60899999999998</v>
      </c>
      <c r="N6" s="34">
        <f t="shared" si="0"/>
        <v>382.05799999999999</v>
      </c>
      <c r="O6" s="34">
        <f t="shared" si="0"/>
        <v>283.27500000000003</v>
      </c>
      <c r="P6" s="34">
        <f>+P3+P4+P5</f>
        <v>4763.2839999999997</v>
      </c>
      <c r="Q6" s="229"/>
      <c r="S6" s="239"/>
    </row>
    <row r="7" spans="2:20" ht="18" customHeight="1" thickBot="1">
      <c r="B7" s="258"/>
      <c r="C7" s="32" t="s">
        <v>179</v>
      </c>
      <c r="D7" s="35">
        <f>+(D6-'Producción Laminados 2017'!D6)/'Producción Laminados 2017'!D6</f>
        <v>0.23614290692032414</v>
      </c>
      <c r="E7" s="35">
        <f>+(E6-'Producción Laminados 2017'!E6)/'Producción Laminados 2017'!E6</f>
        <v>0.39850149045304423</v>
      </c>
      <c r="F7" s="35">
        <f>+(F6-'Producción Laminados 2017'!F6)/'Producción Laminados 2017'!F6</f>
        <v>0.15643268593823609</v>
      </c>
      <c r="G7" s="35">
        <f>+(G6-'Producción Laminados 2017'!G6)/'Producción Laminados 2017'!G6</f>
        <v>0.12388774274859243</v>
      </c>
      <c r="H7" s="35">
        <f>+(H6-'Producción Laminados 2017'!H6)/'Producción Laminados 2017'!H6</f>
        <v>-5.7014938348523957E-3</v>
      </c>
      <c r="I7" s="35">
        <f>+(I6-'Producción Laminados 2017'!I6)/'Producción Laminados 2017'!I6</f>
        <v>-7.7482083146242109E-2</v>
      </c>
      <c r="J7" s="35">
        <f>+(J6-'Producción Laminados 2017'!J6)/'Producción Laminados 2017'!J6</f>
        <v>-7.2487307738348203E-2</v>
      </c>
      <c r="K7" s="35">
        <f>+(K6-'Producción Laminados 2017'!K6)/'Producción Laminados 2017'!K6</f>
        <v>3.9764387290761989E-2</v>
      </c>
      <c r="L7" s="35">
        <f>+(L6-'Producción Laminados 2017'!L6)/'Producción Laminados 2017'!L6</f>
        <v>-6.033220318332088E-2</v>
      </c>
      <c r="M7" s="35">
        <f>+(M6-'Producción Laminados 2017'!M6)/'Producción Laminados 2017'!M6</f>
        <v>0.39206825380749644</v>
      </c>
      <c r="N7" s="35">
        <f>+(N6-'Producción Laminados 2017'!N6)/'Producción Laminados 2017'!N6</f>
        <v>-7.796749242817326E-2</v>
      </c>
      <c r="O7" s="35">
        <f>+(O6-'Producción Laminados 2017'!O6)/'Producción Laminados 2017'!O6</f>
        <v>-0.31972748274553681</v>
      </c>
      <c r="P7" s="139">
        <f ca="1">(P6-SUM('Producción Laminados 2017'!$D6:OFFSET('Producción Laminados 2017'!$D6,0,Índice!$Y$4)))/SUM('Producción Laminados 2017'!$D6:OFFSET('Producción Laminados 2017'!$D6,0,Índice!$Y$4))</f>
        <v>3.8010085727155543E-2</v>
      </c>
      <c r="Q7" s="229"/>
    </row>
    <row r="8" spans="2:20" ht="18" customHeight="1" thickTop="1">
      <c r="B8" s="256" t="s">
        <v>42</v>
      </c>
      <c r="C8" s="31" t="s">
        <v>65</v>
      </c>
      <c r="D8" s="171">
        <v>730</v>
      </c>
      <c r="E8" s="171">
        <v>739</v>
      </c>
      <c r="F8" s="171">
        <v>831</v>
      </c>
      <c r="G8" s="34">
        <v>783</v>
      </c>
      <c r="H8" s="34">
        <v>706</v>
      </c>
      <c r="I8" s="171">
        <v>746</v>
      </c>
      <c r="J8" s="34">
        <v>760</v>
      </c>
      <c r="K8" s="34">
        <v>769</v>
      </c>
      <c r="L8" s="34">
        <v>764</v>
      </c>
      <c r="M8" s="34">
        <v>799</v>
      </c>
      <c r="N8" s="34">
        <v>771</v>
      </c>
      <c r="O8" s="34">
        <v>538</v>
      </c>
      <c r="P8" s="34">
        <v>8936</v>
      </c>
      <c r="Q8" s="229"/>
    </row>
    <row r="9" spans="2:20" ht="18" customHeight="1">
      <c r="B9" s="257"/>
      <c r="C9" s="29" t="s">
        <v>59</v>
      </c>
      <c r="D9" s="171">
        <v>1158</v>
      </c>
      <c r="E9" s="171">
        <v>1088</v>
      </c>
      <c r="F9" s="171">
        <v>1265</v>
      </c>
      <c r="G9" s="34">
        <v>1222</v>
      </c>
      <c r="H9" s="34">
        <v>1244</v>
      </c>
      <c r="I9" s="171">
        <v>1134</v>
      </c>
      <c r="J9" s="34">
        <v>1143</v>
      </c>
      <c r="K9" s="34">
        <v>1087</v>
      </c>
      <c r="L9" s="34">
        <v>1293</v>
      </c>
      <c r="M9" s="34">
        <v>1268</v>
      </c>
      <c r="N9" s="34">
        <v>1233</v>
      </c>
      <c r="O9" s="34">
        <v>1075</v>
      </c>
      <c r="P9" s="34">
        <v>14210</v>
      </c>
      <c r="Q9" s="229"/>
    </row>
    <row r="10" spans="2:20" ht="18" customHeight="1">
      <c r="B10" s="257"/>
      <c r="C10" s="29" t="s">
        <v>60</v>
      </c>
      <c r="D10" s="171">
        <f>+'Producción Laminados 2017'!D10*1.048</f>
        <v>0</v>
      </c>
      <c r="E10" s="171"/>
      <c r="F10" s="171"/>
      <c r="G10" s="34"/>
      <c r="H10" s="34"/>
      <c r="I10" s="34"/>
      <c r="J10" s="34"/>
      <c r="K10" s="34"/>
      <c r="L10" s="34"/>
      <c r="M10" s="34"/>
      <c r="N10" s="34"/>
      <c r="O10" s="34"/>
      <c r="P10" s="34">
        <f>SUM(D10:O10)</f>
        <v>0</v>
      </c>
      <c r="Q10" s="229"/>
    </row>
    <row r="11" spans="2:20" ht="18" customHeight="1">
      <c r="B11" s="257"/>
      <c r="C11" s="29" t="s">
        <v>139</v>
      </c>
      <c r="D11" s="171">
        <f>+D8+D9+D10</f>
        <v>1888</v>
      </c>
      <c r="E11" s="171">
        <f>+E8+E9+E10</f>
        <v>1827</v>
      </c>
      <c r="F11" s="171">
        <f t="shared" ref="F11:P11" si="1">+F8+F9+F10</f>
        <v>2096</v>
      </c>
      <c r="G11" s="34">
        <f t="shared" si="1"/>
        <v>2005</v>
      </c>
      <c r="H11" s="34">
        <f t="shared" si="1"/>
        <v>1950</v>
      </c>
      <c r="I11" s="34">
        <f t="shared" si="1"/>
        <v>1880</v>
      </c>
      <c r="J11" s="34">
        <f t="shared" si="1"/>
        <v>1903</v>
      </c>
      <c r="K11" s="34">
        <f t="shared" si="1"/>
        <v>1856</v>
      </c>
      <c r="L11" s="34">
        <f t="shared" si="1"/>
        <v>2057</v>
      </c>
      <c r="M11" s="34">
        <f t="shared" si="1"/>
        <v>2067</v>
      </c>
      <c r="N11" s="34">
        <f t="shared" si="1"/>
        <v>2004</v>
      </c>
      <c r="O11" s="34">
        <f t="shared" si="1"/>
        <v>1613</v>
      </c>
      <c r="P11" s="34">
        <f t="shared" si="1"/>
        <v>23146</v>
      </c>
      <c r="Q11" s="229"/>
      <c r="R11" s="14"/>
      <c r="S11" s="241">
        <f>+P11/P81</f>
        <v>0.43044294275675749</v>
      </c>
    </row>
    <row r="12" spans="2:20" ht="18" customHeight="1" thickBot="1">
      <c r="B12" s="258"/>
      <c r="C12" s="32" t="s">
        <v>179</v>
      </c>
      <c r="D12" s="35">
        <f>+(D11-'Producción Laminados 2017'!D11)/'Producción Laminados 2017'!D11</f>
        <v>6.3063063063063057E-2</v>
      </c>
      <c r="E12" s="35">
        <f>+(E11-'Producción Laminados 2017'!E11)/'Producción Laminados 2017'!E11</f>
        <v>7.4705882352941178E-2</v>
      </c>
      <c r="F12" s="35">
        <f>+(F11-'Producción Laminados 2017'!F11)/'Producción Laminados 2017'!F11</f>
        <v>8.0412371134020624E-2</v>
      </c>
      <c r="G12" s="35">
        <f>+(G11-'Producción Laminados 2017'!G11)/'Producción Laminados 2017'!G11</f>
        <v>6.4225053078556263E-2</v>
      </c>
      <c r="H12" s="35">
        <f>+(H11-'Producción Laminados 2017'!H11)/'Producción Laminados 2017'!H11</f>
        <v>7.4972436604189632E-2</v>
      </c>
      <c r="I12" s="35">
        <f>+(I11-'Producción Laminados 2017'!I11)/'Producción Laminados 2017'!I11</f>
        <v>4.618809126321647E-2</v>
      </c>
      <c r="J12" s="35">
        <f>+(J11-'Producción Laminados 2017'!J11)/'Producción Laminados 2017'!J11</f>
        <v>2.6983270372369132E-2</v>
      </c>
      <c r="K12" s="35">
        <f>+(K11-'Producción Laminados 2017'!K11)/'Producción Laminados 2017'!K11</f>
        <v>-4.4284243048403706E-2</v>
      </c>
      <c r="L12" s="35">
        <f>+(L11-'Producción Laminados 2017'!L11)/'Producción Laminados 2017'!L11</f>
        <v>0.10829741379310345</v>
      </c>
      <c r="M12" s="35">
        <f>+(M11-'Producción Laminados 2017'!M11)/'Producción Laminados 2017'!M11</f>
        <v>-1.7118402282453638E-2</v>
      </c>
      <c r="N12" s="35">
        <f>+(N11-'Producción Laminados 2017'!N11)/'Producción Laminados 2017'!N11</f>
        <v>8.5556114745848014E-3</v>
      </c>
      <c r="O12" s="35">
        <f>+(O11-'Producción Laminados 2017'!O11)/'Producción Laminados 2017'!O11</f>
        <v>-8.8700564971751411E-2</v>
      </c>
      <c r="P12" s="139">
        <f ca="1">(P11-SUM('Producción Laminados 2017'!$D11:OFFSET('Producción Laminados 2017'!$D11,0,Índice!$Y$4)))/SUM('Producción Laminados 2017'!$D11:OFFSET('Producción Laminados 2017'!$D11,0,Índice!$Y$4))</f>
        <v>3.2289715458032289E-2</v>
      </c>
      <c r="Q12" s="229"/>
      <c r="R12" s="154"/>
      <c r="S12" s="154"/>
      <c r="T12" s="154"/>
    </row>
    <row r="13" spans="2:20" ht="18" customHeight="1" thickTop="1">
      <c r="B13" s="256" t="s">
        <v>1</v>
      </c>
      <c r="C13" s="31" t="s">
        <v>65</v>
      </c>
      <c r="D13" s="171">
        <v>94.558998999998735</v>
      </c>
      <c r="E13" s="171">
        <v>89.871274999999997</v>
      </c>
      <c r="F13" s="171">
        <v>103.79121299999997</v>
      </c>
      <c r="G13" s="171">
        <v>81.603085000000007</v>
      </c>
      <c r="H13" s="34">
        <v>79.465896000000129</v>
      </c>
      <c r="I13" s="34">
        <v>92.848299000000168</v>
      </c>
      <c r="J13" s="34">
        <v>91.930200999999343</v>
      </c>
      <c r="K13" s="34">
        <v>94.058372000000091</v>
      </c>
      <c r="L13" s="34">
        <v>87.692832999998274</v>
      </c>
      <c r="M13" s="34">
        <v>107.57802200000008</v>
      </c>
      <c r="N13" s="34">
        <v>108.01257500000057</v>
      </c>
      <c r="O13" s="34">
        <v>100.04466700000101</v>
      </c>
      <c r="P13" s="34">
        <f>SUM(D13:O13)</f>
        <v>1131.4554369999983</v>
      </c>
      <c r="Q13" s="229"/>
      <c r="R13" s="154"/>
      <c r="S13" s="154"/>
      <c r="T13" s="154"/>
    </row>
    <row r="14" spans="2:20" ht="18" customHeight="1">
      <c r="B14" s="257"/>
      <c r="C14" s="29" t="s">
        <v>59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>
        <f>SUM(D14:O14)</f>
        <v>0</v>
      </c>
      <c r="Q14" s="229"/>
      <c r="R14" s="154"/>
      <c r="S14" s="154"/>
      <c r="T14" s="154"/>
    </row>
    <row r="15" spans="2:20" ht="18" customHeight="1">
      <c r="B15" s="257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0</v>
      </c>
      <c r="Q15" s="229"/>
      <c r="R15" s="154"/>
      <c r="S15" s="154"/>
      <c r="T15" s="154"/>
    </row>
    <row r="16" spans="2:20" ht="18" customHeight="1">
      <c r="B16" s="257"/>
      <c r="C16" s="29" t="s">
        <v>139</v>
      </c>
      <c r="D16" s="34">
        <f>+D13+D14+D15</f>
        <v>94.558998999998735</v>
      </c>
      <c r="E16" s="34">
        <f>+E13+E14+E15</f>
        <v>89.871274999999997</v>
      </c>
      <c r="F16" s="34">
        <f t="shared" ref="F16:P16" si="2">+F13+F14+F15</f>
        <v>103.79121299999997</v>
      </c>
      <c r="G16" s="34">
        <f t="shared" si="2"/>
        <v>81.603085000000007</v>
      </c>
      <c r="H16" s="34">
        <f t="shared" si="2"/>
        <v>79.465896000000129</v>
      </c>
      <c r="I16" s="34">
        <f t="shared" si="2"/>
        <v>92.848299000000168</v>
      </c>
      <c r="J16" s="34">
        <f t="shared" si="2"/>
        <v>91.930200999999343</v>
      </c>
      <c r="K16" s="34">
        <f t="shared" si="2"/>
        <v>94.058372000000091</v>
      </c>
      <c r="L16" s="34">
        <f t="shared" si="2"/>
        <v>87.692832999998274</v>
      </c>
      <c r="M16" s="34">
        <f t="shared" si="2"/>
        <v>107.57802200000008</v>
      </c>
      <c r="N16" s="34">
        <f t="shared" si="2"/>
        <v>108.01257500000057</v>
      </c>
      <c r="O16" s="34">
        <f t="shared" si="2"/>
        <v>100.04466700000101</v>
      </c>
      <c r="P16" s="34">
        <f t="shared" si="2"/>
        <v>1131.4554369999983</v>
      </c>
      <c r="Q16" s="229"/>
      <c r="R16" s="154"/>
      <c r="S16" s="154"/>
      <c r="T16" s="154"/>
    </row>
    <row r="17" spans="2:20" ht="18" customHeight="1" thickBot="1">
      <c r="B17" s="258"/>
      <c r="C17" s="32" t="s">
        <v>179</v>
      </c>
      <c r="D17" s="35">
        <f>+(D16-'Producción Laminados 2017'!D16)/'Producción Laminados 2017'!D16</f>
        <v>0.2200119034993365</v>
      </c>
      <c r="E17" s="35">
        <f>+(E16-'Producción Laminados 2017'!E16)/'Producción Laminados 2017'!E16</f>
        <v>-5.1820407774322473E-2</v>
      </c>
      <c r="F17" s="35">
        <f>+(F16-'Producción Laminados 2017'!F16)/'Producción Laminados 2017'!F16</f>
        <v>0.11897960645498473</v>
      </c>
      <c r="G17" s="35">
        <f>+(G16-'Producción Laminados 2017'!G16)/'Producción Laminados 2017'!G16</f>
        <v>-0.12460533771239722</v>
      </c>
      <c r="H17" s="35">
        <f>+(H16-'Producción Laminados 2017'!H16)/'Producción Laminados 2017'!H16</f>
        <v>-0.14644237131522095</v>
      </c>
      <c r="I17" s="35">
        <f>+(I16-'Producción Laminados 2017'!I16)/'Producción Laminados 2017'!I16</f>
        <v>3.960915130341313E-2</v>
      </c>
      <c r="J17" s="35">
        <f>+(J16-'Producción Laminados 2017'!J16)/'Producción Laminados 2017'!J16</f>
        <v>-5.792476347505863E-3</v>
      </c>
      <c r="K17" s="35">
        <f>+(K16-'Producción Laminados 2017'!K16)/'Producción Laminados 2017'!K16</f>
        <v>0.16204593452131932</v>
      </c>
      <c r="L17" s="35">
        <f>+(L16-'Producción Laminados 2017'!L16)/'Producción Laminados 2017'!L16</f>
        <v>0.17906114484282071</v>
      </c>
      <c r="M17" s="35">
        <f>+(M16-'Producción Laminados 2017'!M16)/'Producción Laminados 2017'!M16</f>
        <v>0.24759324771286662</v>
      </c>
      <c r="N17" s="35">
        <f>+(N16-'Producción Laminados 2017'!N16)/'Producción Laminados 2017'!N16</f>
        <v>0.19107798765792644</v>
      </c>
      <c r="O17" s="35">
        <f>+(O16-'Producción Laminados 2017'!O16)/'Producción Laminados 2017'!O16</f>
        <v>3.9279202287205814E-2</v>
      </c>
      <c r="P17" s="139">
        <f ca="1">(P16-SUM('Producción Laminados 2017'!$D16:OFFSET('Producción Laminados 2017'!$D16,0,Índice!$Y$4)))/SUM('Producción Laminados 2017'!$D16:OFFSET('Producción Laminados 2017'!$D16,0,Índice!$Y$4))</f>
        <v>6.5768395280633857E-2</v>
      </c>
      <c r="Q17" s="229"/>
      <c r="R17" s="154"/>
      <c r="S17" s="154"/>
      <c r="T17" s="154"/>
    </row>
    <row r="18" spans="2:20" ht="18" customHeight="1" thickTop="1">
      <c r="B18" s="256" t="s">
        <v>2</v>
      </c>
      <c r="C18" s="31" t="s">
        <v>65</v>
      </c>
      <c r="D18" s="171">
        <v>91.831806</v>
      </c>
      <c r="E18" s="171">
        <v>107.49274889600001</v>
      </c>
      <c r="F18" s="171">
        <v>108.13019199999999</v>
      </c>
      <c r="G18" s="171">
        <v>93.514970000000019</v>
      </c>
      <c r="H18" s="171">
        <v>105.74838799999999</v>
      </c>
      <c r="I18" s="171">
        <v>111.91184199999999</v>
      </c>
      <c r="J18" s="171">
        <v>110.60963500000001</v>
      </c>
      <c r="K18" s="171">
        <v>96.580755999999994</v>
      </c>
      <c r="L18" s="171">
        <v>108.05364799999998</v>
      </c>
      <c r="M18" s="171">
        <v>105.34034</v>
      </c>
      <c r="N18" s="170">
        <v>103</v>
      </c>
      <c r="O18" s="170">
        <v>104</v>
      </c>
      <c r="P18" s="34">
        <f>SUM(D18:O18)</f>
        <v>1246.214325896</v>
      </c>
      <c r="Q18" s="229"/>
      <c r="R18" s="154"/>
      <c r="S18" s="154"/>
      <c r="T18" s="154"/>
    </row>
    <row r="19" spans="2:20" ht="18" customHeight="1">
      <c r="B19" s="257"/>
      <c r="C19" s="29" t="s">
        <v>59</v>
      </c>
      <c r="D19" s="171">
        <v>35.878</v>
      </c>
      <c r="E19" s="171">
        <v>26.992000000000001</v>
      </c>
      <c r="F19" s="171">
        <v>34.046999999999997</v>
      </c>
      <c r="G19" s="171">
        <v>39.987000000000002</v>
      </c>
      <c r="H19" s="171">
        <v>39.396999999999998</v>
      </c>
      <c r="I19" s="171">
        <v>37.164000000000001</v>
      </c>
      <c r="J19" s="171">
        <v>31.527999999999999</v>
      </c>
      <c r="K19" s="171">
        <v>31.472999999999999</v>
      </c>
      <c r="L19" s="171">
        <v>31.091999999999999</v>
      </c>
      <c r="M19" s="171">
        <v>31.853999999999999</v>
      </c>
      <c r="N19" s="170">
        <v>31</v>
      </c>
      <c r="O19" s="170">
        <v>32</v>
      </c>
      <c r="P19" s="34">
        <f>SUM(D19:O19)</f>
        <v>402.41199999999992</v>
      </c>
      <c r="Q19" s="229"/>
      <c r="R19" s="154"/>
      <c r="S19" s="154"/>
      <c r="T19" s="154"/>
    </row>
    <row r="20" spans="2:20" ht="18" customHeight="1">
      <c r="B20" s="257"/>
      <c r="C20" s="29" t="s">
        <v>60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  <c r="J20" s="171">
        <v>0</v>
      </c>
      <c r="K20" s="171">
        <v>0</v>
      </c>
      <c r="L20" s="170">
        <v>0</v>
      </c>
      <c r="M20" s="170"/>
      <c r="N20" s="170"/>
      <c r="O20" s="34"/>
      <c r="P20" s="34">
        <f>SUM(D20:O20)</f>
        <v>0</v>
      </c>
      <c r="Q20" s="229"/>
      <c r="R20" s="154"/>
      <c r="S20" s="154"/>
      <c r="T20" s="154"/>
    </row>
    <row r="21" spans="2:20" ht="18" customHeight="1">
      <c r="B21" s="257"/>
      <c r="C21" s="29" t="s">
        <v>139</v>
      </c>
      <c r="D21" s="171">
        <f>+D18+D19+D20</f>
        <v>127.709806</v>
      </c>
      <c r="E21" s="171">
        <f>+E18+E19+E20</f>
        <v>134.48474889600001</v>
      </c>
      <c r="F21" s="171">
        <f t="shared" ref="F21:P21" si="3">+F18+F19+F20</f>
        <v>142.17719199999999</v>
      </c>
      <c r="G21" s="171">
        <f>+G18+G19+G20</f>
        <v>133.50197000000003</v>
      </c>
      <c r="H21" s="171">
        <f t="shared" si="3"/>
        <v>145.145388</v>
      </c>
      <c r="I21" s="171">
        <f t="shared" si="3"/>
        <v>149.07584199999999</v>
      </c>
      <c r="J21" s="171">
        <f t="shared" si="3"/>
        <v>142.13763500000002</v>
      </c>
      <c r="K21" s="171">
        <f t="shared" si="3"/>
        <v>128.05375599999999</v>
      </c>
      <c r="L21" s="171">
        <f t="shared" si="3"/>
        <v>139.14564799999999</v>
      </c>
      <c r="M21" s="171">
        <f t="shared" si="3"/>
        <v>137.19434000000001</v>
      </c>
      <c r="N21" s="170">
        <f t="shared" si="3"/>
        <v>134</v>
      </c>
      <c r="O21" s="170">
        <f t="shared" si="3"/>
        <v>136</v>
      </c>
      <c r="P21" s="34">
        <f t="shared" si="3"/>
        <v>1648.6263258959998</v>
      </c>
      <c r="Q21" s="229"/>
      <c r="R21" s="154"/>
      <c r="S21" s="154"/>
      <c r="T21" s="154"/>
    </row>
    <row r="22" spans="2:20" ht="18" customHeight="1" thickBot="1">
      <c r="B22" s="258"/>
      <c r="C22" s="32" t="s">
        <v>179</v>
      </c>
      <c r="D22" s="35">
        <f>+(D21-'Producción Laminados 2017'!D21)/'Producción Laminados 2017'!D21</f>
        <v>-0.14692126851550538</v>
      </c>
      <c r="E22" s="35">
        <f>+(E21-'Producción Laminados 2017'!E21)/'Producción Laminados 2017'!E21</f>
        <v>-0.12534774039213659</v>
      </c>
      <c r="F22" s="35">
        <f>+(F21-'Producción Laminados 2017'!F21)/'Producción Laminados 2017'!F21</f>
        <v>-0.15158055643928525</v>
      </c>
      <c r="G22" s="35">
        <f>+(G21-'Producción Laminados 2017'!G21)/'Producción Laminados 2017'!G21</f>
        <v>-0.14995091023027632</v>
      </c>
      <c r="H22" s="35">
        <f>+(H21-'Producción Laminados 2017'!H21)/'Producción Laminados 2017'!H21</f>
        <v>-6.7685139270361988E-2</v>
      </c>
      <c r="I22" s="35">
        <f>+(I21-'Producción Laminados 2017'!I21)/'Producción Laminados 2017'!I21</f>
        <v>4.9984058222408721E-2</v>
      </c>
      <c r="J22" s="35">
        <f>+(J21-'Producción Laminados 2017'!J21)/'Producción Laminados 2017'!J21</f>
        <v>-3.5501587433961895E-3</v>
      </c>
      <c r="K22" s="35">
        <f>+(K21-'Producción Laminados 2017'!K21)/'Producción Laminados 2017'!K21</f>
        <v>-0.23464147866061039</v>
      </c>
      <c r="L22" s="35">
        <f>+(L21-'Producción Laminados 2017'!L21)/'Producción Laminados 2017'!L21</f>
        <v>-7.9873304080390672E-2</v>
      </c>
      <c r="M22" s="35">
        <f>+(M21-'Producción Laminados 2017'!M21)/'Producción Laminados 2017'!M21</f>
        <v>-0.23367535202647538</v>
      </c>
      <c r="N22" s="172">
        <f>+(N21-'Producción Laminados 2017'!N21)/'Producción Laminados 2017'!N21</f>
        <v>-0.19530635407721453</v>
      </c>
      <c r="O22" s="172">
        <f>+(O21-'Producción Laminados 2017'!O21)/'Producción Laminados 2017'!O21</f>
        <v>-0.16556226378049382</v>
      </c>
      <c r="P22" s="139">
        <f ca="1">(P21-SUM('Producción Laminados 2017'!$D21:OFFSET('Producción Laminados 2017'!$D21,0,Índice!$Y$4)))/SUM('Producción Laminados 2017'!$D21:OFFSET('Producción Laminados 2017'!$D21,0,Índice!$Y$4))</f>
        <v>-0.13022917051530106</v>
      </c>
      <c r="Q22" s="229"/>
      <c r="R22" s="154"/>
      <c r="S22" s="154"/>
      <c r="T22" s="154"/>
    </row>
    <row r="23" spans="2:20" s="3" customFormat="1" ht="18" customHeight="1" thickTop="1">
      <c r="B23" s="256" t="s">
        <v>5</v>
      </c>
      <c r="C23" s="31" t="s">
        <v>65</v>
      </c>
      <c r="D23" s="170">
        <f>+'Producción Laminados 2017'!D23*1.04</f>
        <v>29.12</v>
      </c>
      <c r="E23" s="170">
        <f>+'Producción Laminados 2017'!E23*1.04</f>
        <v>30.16</v>
      </c>
      <c r="F23" s="170">
        <f>+'Producción Laminados 2017'!F23*1.04</f>
        <v>34.32</v>
      </c>
      <c r="G23" s="170">
        <f>+'Producción Laminados 2017'!G23*1.04</f>
        <v>35.36</v>
      </c>
      <c r="H23" s="170">
        <f>+'Producción Laminados 2017'!H23*1.04</f>
        <v>35.36</v>
      </c>
      <c r="I23" s="170">
        <f>+'Producción Laminados 2017'!I23*1.04</f>
        <v>33.28</v>
      </c>
      <c r="J23" s="170">
        <f>+'Producción Laminados 2017'!J23*1.04</f>
        <v>34.32</v>
      </c>
      <c r="K23" s="170">
        <f>+'Producción Laminados 2017'!K23*1.04</f>
        <v>33.28</v>
      </c>
      <c r="L23" s="170">
        <f>+'Producción Laminados 2017'!L23*1.04</f>
        <v>31.200000000000003</v>
      </c>
      <c r="M23" s="170">
        <f>+'Producción Laminados 2017'!M23*1.04</f>
        <v>33.28</v>
      </c>
      <c r="N23" s="170">
        <f>+'Producción Laminados 2017'!N23*1.04</f>
        <v>32.24</v>
      </c>
      <c r="O23" s="170">
        <f>+'Producción Laminados 2017'!O23*1.04</f>
        <v>31.200000000000003</v>
      </c>
      <c r="P23" s="34">
        <f>SUM(D23:O23)</f>
        <v>393.11999999999995</v>
      </c>
      <c r="Q23" s="229"/>
      <c r="R23" s="165"/>
      <c r="S23" s="165"/>
      <c r="T23" s="165"/>
    </row>
    <row r="24" spans="2:20" s="3" customFormat="1" ht="18" customHeight="1">
      <c r="B24" s="257"/>
      <c r="C24" s="29" t="s">
        <v>59</v>
      </c>
      <c r="D24" s="170">
        <f>+'Producción Laminados 2017'!D24*1.04</f>
        <v>0</v>
      </c>
      <c r="E24" s="170">
        <f>+'Producción Laminados 2017'!E24*1.04</f>
        <v>0</v>
      </c>
      <c r="F24" s="170">
        <f>+'Producción Laminados 2017'!F24*1.04</f>
        <v>0</v>
      </c>
      <c r="G24" s="170">
        <f>+'Producción Laminados 2017'!G24*1.04</f>
        <v>0</v>
      </c>
      <c r="H24" s="170">
        <f>+'Producción Laminados 2017'!H24*1.04</f>
        <v>0</v>
      </c>
      <c r="I24" s="170">
        <f>+'Producción Laminados 2017'!I24*1.04</f>
        <v>0</v>
      </c>
      <c r="J24" s="170">
        <f>+'Producción Laminados 2017'!J24*1.04</f>
        <v>0</v>
      </c>
      <c r="K24" s="170">
        <f>+'Producción Laminados 2017'!K24*1.04</f>
        <v>0</v>
      </c>
      <c r="L24" s="170">
        <f>+'Producción Laminados 2017'!L24*1.04</f>
        <v>0</v>
      </c>
      <c r="M24" s="170">
        <f>+'Producción Laminados 2017'!M24*1.04</f>
        <v>0</v>
      </c>
      <c r="N24" s="34">
        <f>+'Producción Laminados 2017'!N24*1.04</f>
        <v>0</v>
      </c>
      <c r="O24" s="170">
        <f>+'Producción Laminados 2017'!O24*1.04</f>
        <v>0</v>
      </c>
      <c r="P24" s="34">
        <f>SUM(D24:O24)</f>
        <v>0</v>
      </c>
      <c r="Q24" s="229"/>
      <c r="R24" s="165"/>
      <c r="S24" s="165"/>
      <c r="T24" s="165"/>
    </row>
    <row r="25" spans="2:20" s="3" customFormat="1" ht="18" customHeight="1">
      <c r="B25" s="257"/>
      <c r="C25" s="29" t="s">
        <v>60</v>
      </c>
      <c r="D25" s="170">
        <f>+'Producción Laminados 2017'!D25*1.04</f>
        <v>0</v>
      </c>
      <c r="E25" s="170">
        <f>+'Producción Laminados 2017'!E25*1.04</f>
        <v>0</v>
      </c>
      <c r="F25" s="170">
        <f>+'Producción Laminados 2017'!F25*1.04</f>
        <v>0</v>
      </c>
      <c r="G25" s="170">
        <f>+'Producción Laminados 2017'!G25*1.04</f>
        <v>0</v>
      </c>
      <c r="H25" s="170">
        <f>+'Producción Laminados 2017'!H25*1.04</f>
        <v>0</v>
      </c>
      <c r="I25" s="170">
        <f>+'Producción Laminados 2017'!I25*1.04</f>
        <v>0</v>
      </c>
      <c r="J25" s="170">
        <f>+'Producción Laminados 2017'!J25*1.04</f>
        <v>0</v>
      </c>
      <c r="K25" s="170">
        <f>+'Producción Laminados 2017'!K25*1.04</f>
        <v>0</v>
      </c>
      <c r="L25" s="170">
        <f>+'Producción Laminados 2017'!L25*1.04</f>
        <v>0</v>
      </c>
      <c r="M25" s="170">
        <f>+'Producción Laminados 2017'!M25*1.04</f>
        <v>0</v>
      </c>
      <c r="N25" s="34">
        <f>+'Producción Laminados 2017'!N25*1.04</f>
        <v>0</v>
      </c>
      <c r="O25" s="170">
        <f>+'Producción Laminados 2017'!O25*1.04</f>
        <v>0</v>
      </c>
      <c r="P25" s="34">
        <f>SUM(D25:O25)</f>
        <v>0</v>
      </c>
      <c r="Q25" s="229"/>
      <c r="R25" s="165"/>
      <c r="S25" s="165"/>
      <c r="T25" s="165"/>
    </row>
    <row r="26" spans="2:20" s="3" customFormat="1" ht="18" customHeight="1">
      <c r="B26" s="257"/>
      <c r="C26" s="29" t="s">
        <v>139</v>
      </c>
      <c r="D26" s="170">
        <f>+D23+D24+D25</f>
        <v>29.12</v>
      </c>
      <c r="E26" s="170">
        <f>+E23+E24+E25</f>
        <v>30.16</v>
      </c>
      <c r="F26" s="170">
        <f>+F23+F24+F25</f>
        <v>34.32</v>
      </c>
      <c r="G26" s="170">
        <f>+G23+G24+G25</f>
        <v>35.36</v>
      </c>
      <c r="H26" s="170">
        <f t="shared" ref="H26:P26" si="4">+H23+H24+H25</f>
        <v>35.36</v>
      </c>
      <c r="I26" s="170">
        <f t="shared" si="4"/>
        <v>33.28</v>
      </c>
      <c r="J26" s="170">
        <f t="shared" ref="J26" si="5">+J23+J24+J25</f>
        <v>34.32</v>
      </c>
      <c r="K26" s="170">
        <f t="shared" si="4"/>
        <v>33.28</v>
      </c>
      <c r="L26" s="170">
        <f t="shared" si="4"/>
        <v>31.200000000000003</v>
      </c>
      <c r="M26" s="170">
        <f t="shared" ref="M26" si="6">+M23+M24+M25</f>
        <v>33.28</v>
      </c>
      <c r="N26" s="170">
        <f t="shared" si="4"/>
        <v>32.24</v>
      </c>
      <c r="O26" s="170">
        <f t="shared" si="4"/>
        <v>31.200000000000003</v>
      </c>
      <c r="P26" s="34">
        <f t="shared" si="4"/>
        <v>393.11999999999995</v>
      </c>
      <c r="Q26" s="229"/>
      <c r="R26" s="165"/>
      <c r="S26" s="165"/>
      <c r="T26" s="165"/>
    </row>
    <row r="27" spans="2:20" s="3" customFormat="1" ht="18" customHeight="1" thickBot="1">
      <c r="B27" s="258"/>
      <c r="C27" s="32" t="s">
        <v>179</v>
      </c>
      <c r="D27" s="172">
        <f>+(D26-'Producción Laminados 2017'!D26)/'Producción Laminados 2017'!D26</f>
        <v>4.0000000000000036E-2</v>
      </c>
      <c r="E27" s="172">
        <f>+(E26-'Producción Laminados 2017'!E26)/'Producción Laminados 2017'!E26</f>
        <v>4.0000000000000008E-2</v>
      </c>
      <c r="F27" s="172">
        <f>+(F26-'Producción Laminados 2017'!F26)/'Producción Laminados 2017'!F26</f>
        <v>4.0000000000000008E-2</v>
      </c>
      <c r="G27" s="172">
        <f>+(G26-'Producción Laminados 2017'!G26)/'Producción Laminados 2017'!G26</f>
        <v>3.999999999999998E-2</v>
      </c>
      <c r="H27" s="172">
        <f>+(H26-'Producción Laminados 2017'!H26)/'Producción Laminados 2017'!H26</f>
        <v>3.999999999999998E-2</v>
      </c>
      <c r="I27" s="172">
        <f>+(I26-'Producción Laminados 2017'!I26)/'Producción Laminados 2017'!I26</f>
        <v>4.0000000000000036E-2</v>
      </c>
      <c r="J27" s="172">
        <f>+(J26-'Producción Laminados 2017'!J26)/'Producción Laminados 2017'!J26</f>
        <v>4.0000000000000008E-2</v>
      </c>
      <c r="K27" s="172">
        <f>+(K26-'Producción Laminados 2017'!K26)/'Producción Laminados 2017'!K26</f>
        <v>4.0000000000000036E-2</v>
      </c>
      <c r="L27" s="172">
        <f>+(L26-'Producción Laminados 2017'!L26)/'Producción Laminados 2017'!L26</f>
        <v>4.0000000000000098E-2</v>
      </c>
      <c r="M27" s="172">
        <f>+(M26-'Producción Laminados 2017'!M26)/'Producción Laminados 2017'!M26</f>
        <v>4.0000000000000036E-2</v>
      </c>
      <c r="N27" s="172">
        <f>+(N26-'Producción Laminados 2017'!N26)/'Producción Laminados 2017'!N26</f>
        <v>4.0000000000000063E-2</v>
      </c>
      <c r="O27" s="172">
        <f>+(O26-'Producción Laminados 2017'!O26)/'Producción Laminados 2017'!O26</f>
        <v>4.0000000000000098E-2</v>
      </c>
      <c r="P27" s="139">
        <f ca="1">(P26-SUM('Producción Laminados 2017'!$D26:OFFSET('Producción Laminados 2017'!$D26,0,Índice!$Y$4)))/SUM('Producción Laminados 2017'!$D26:OFFSET('Producción Laminados 2017'!$D26,0,Índice!$Y$4))</f>
        <v>3.9999999999999862E-2</v>
      </c>
      <c r="Q27" s="229"/>
      <c r="R27" s="165"/>
      <c r="S27" s="165"/>
      <c r="T27" s="165"/>
    </row>
    <row r="28" spans="2:20" s="3" customFormat="1" ht="18" customHeight="1" thickTop="1">
      <c r="B28" s="256" t="s">
        <v>9</v>
      </c>
      <c r="C28" s="31" t="s">
        <v>65</v>
      </c>
      <c r="D28" s="170">
        <f>+'Producción Laminados 2017'!D28*1.02</f>
        <v>9.18</v>
      </c>
      <c r="E28" s="170">
        <f>+'Producción Laminados 2017'!E28*1.02</f>
        <v>8.16</v>
      </c>
      <c r="F28" s="170">
        <f>+'Producción Laminados 2017'!F28*1.02</f>
        <v>7.1400000000000006</v>
      </c>
      <c r="G28" s="170">
        <f>+'Producción Laminados 2017'!G28*1.02</f>
        <v>9.18</v>
      </c>
      <c r="H28" s="170">
        <f>+'Producción Laminados 2017'!H28*1.02</f>
        <v>9.18</v>
      </c>
      <c r="I28" s="170">
        <f>+'Producción Laminados 2017'!I28*1.02</f>
        <v>9.4860000000000007</v>
      </c>
      <c r="J28" s="170">
        <f>+'Producción Laminados 2017'!J28*1.02</f>
        <v>11.22</v>
      </c>
      <c r="K28" s="170">
        <f>+'Producción Laminados 2017'!K28*1.02</f>
        <v>11.22</v>
      </c>
      <c r="L28" s="170">
        <f>+'Producción Laminados 2017'!L28*1.02</f>
        <v>9.18</v>
      </c>
      <c r="M28" s="170">
        <f>+'Producción Laminados 2017'!M28*1.02</f>
        <v>10.199999999999999</v>
      </c>
      <c r="N28" s="170">
        <f>+'Producción Laminados 2017'!N28*1.02</f>
        <v>11.22</v>
      </c>
      <c r="O28" s="170">
        <f>+'Producción Laminados 2017'!O28*1.02</f>
        <v>11.22</v>
      </c>
      <c r="P28" s="34">
        <f>SUM(D28:O28)</f>
        <v>116.586</v>
      </c>
      <c r="Q28" s="229"/>
      <c r="R28" s="165"/>
      <c r="S28" s="165"/>
      <c r="T28" s="165"/>
    </row>
    <row r="29" spans="2:20" s="3" customFormat="1" ht="18" customHeight="1">
      <c r="B29" s="257"/>
      <c r="C29" s="29" t="s">
        <v>59</v>
      </c>
      <c r="D29" s="170">
        <f>+'Producción Laminados 2017'!D29*1.02</f>
        <v>0</v>
      </c>
      <c r="E29" s="170">
        <f>+'Producción Laminados 2017'!E29*1.02</f>
        <v>0</v>
      </c>
      <c r="F29" s="170">
        <f>+'Producción Laminados 2017'!F29*1.02</f>
        <v>0</v>
      </c>
      <c r="G29" s="170">
        <f>+'Producción Laminados 2017'!G29*1.02</f>
        <v>0</v>
      </c>
      <c r="H29" s="170">
        <f>+'Producción Laminados 2017'!H29*1.02</f>
        <v>0</v>
      </c>
      <c r="I29" s="170">
        <f>+'Producción Laminados 2017'!I29*1.02</f>
        <v>0</v>
      </c>
      <c r="J29" s="170">
        <f>+'Producción Laminados 2017'!J29*1.02</f>
        <v>0</v>
      </c>
      <c r="K29" s="170">
        <f>+'Producción Laminados 2017'!K29*1.02</f>
        <v>0</v>
      </c>
      <c r="L29" s="170">
        <f>+'Producción Laminados 2017'!L29*1.02</f>
        <v>0</v>
      </c>
      <c r="M29" s="170">
        <f>+'Producción Laminados 2017'!M29*1.02</f>
        <v>0</v>
      </c>
      <c r="N29" s="34">
        <f>+'Producción Laminados 2017'!N29*1.02</f>
        <v>0</v>
      </c>
      <c r="O29" s="170">
        <f>+'Producción Laminados 2017'!O29*1.02</f>
        <v>0</v>
      </c>
      <c r="P29" s="34">
        <f>SUM(D29:O29)</f>
        <v>0</v>
      </c>
      <c r="Q29" s="229"/>
      <c r="R29" s="165"/>
      <c r="S29" s="165"/>
      <c r="T29" s="165"/>
    </row>
    <row r="30" spans="2:20" s="3" customFormat="1" ht="18" customHeight="1">
      <c r="B30" s="257"/>
      <c r="C30" s="29" t="s">
        <v>60</v>
      </c>
      <c r="D30" s="170">
        <f>+'Producción Laminados 2017'!D30*1.02</f>
        <v>0</v>
      </c>
      <c r="E30" s="170">
        <f>+'Producción Laminados 2017'!E30*1.02</f>
        <v>0</v>
      </c>
      <c r="F30" s="170">
        <f>+'Producción Laminados 2017'!F30*1.02</f>
        <v>0</v>
      </c>
      <c r="G30" s="170">
        <f>+'Producción Laminados 2017'!G30*1.02</f>
        <v>0</v>
      </c>
      <c r="H30" s="170">
        <f>+'Producción Laminados 2017'!H30*1.02</f>
        <v>0</v>
      </c>
      <c r="I30" s="170">
        <f>+'Producción Laminados 2017'!I30*1.02</f>
        <v>0</v>
      </c>
      <c r="J30" s="170">
        <f>+'Producción Laminados 2017'!J30*1.02</f>
        <v>0</v>
      </c>
      <c r="K30" s="170">
        <f>+'Producción Laminados 2017'!K30*1.02</f>
        <v>0</v>
      </c>
      <c r="L30" s="170">
        <f>+'Producción Laminados 2017'!L30*1.02</f>
        <v>0</v>
      </c>
      <c r="M30" s="170">
        <f>+'Producción Laminados 2017'!M30*1.02</f>
        <v>0</v>
      </c>
      <c r="N30" s="34">
        <f>+'Producción Laminados 2017'!N30*1.02</f>
        <v>0</v>
      </c>
      <c r="O30" s="170">
        <f>+'Producción Laminados 2017'!O30*1.02</f>
        <v>0</v>
      </c>
      <c r="P30" s="34">
        <f>SUM(D30:O30)</f>
        <v>0</v>
      </c>
      <c r="Q30" s="229"/>
      <c r="R30" s="165"/>
      <c r="S30" s="165"/>
      <c r="T30" s="165"/>
    </row>
    <row r="31" spans="2:20" s="3" customFormat="1" ht="18" customHeight="1">
      <c r="B31" s="257"/>
      <c r="C31" s="29" t="s">
        <v>139</v>
      </c>
      <c r="D31" s="170">
        <f>+D28+D29+D30</f>
        <v>9.18</v>
      </c>
      <c r="E31" s="170">
        <f>+E28+E29+E30</f>
        <v>8.16</v>
      </c>
      <c r="F31" s="170">
        <f>+F28+F29+F30</f>
        <v>7.1400000000000006</v>
      </c>
      <c r="G31" s="170">
        <f>+G28+G29+G30</f>
        <v>9.18</v>
      </c>
      <c r="H31" s="170">
        <f t="shared" ref="H31:P31" si="7">+H28+H29+H30</f>
        <v>9.18</v>
      </c>
      <c r="I31" s="170">
        <f t="shared" ref="I31:J31" si="8">+I28+I29+I30</f>
        <v>9.4860000000000007</v>
      </c>
      <c r="J31" s="170">
        <f t="shared" si="8"/>
        <v>11.22</v>
      </c>
      <c r="K31" s="170">
        <f t="shared" si="7"/>
        <v>11.22</v>
      </c>
      <c r="L31" s="170">
        <f t="shared" si="7"/>
        <v>9.18</v>
      </c>
      <c r="M31" s="170">
        <f t="shared" ref="M31" si="9">+M28+M29+M30</f>
        <v>10.199999999999999</v>
      </c>
      <c r="N31" s="170">
        <f t="shared" si="7"/>
        <v>11.22</v>
      </c>
      <c r="O31" s="170">
        <f t="shared" si="7"/>
        <v>11.22</v>
      </c>
      <c r="P31" s="34">
        <f t="shared" si="7"/>
        <v>116.586</v>
      </c>
      <c r="Q31" s="229"/>
      <c r="R31" s="165"/>
      <c r="S31" s="165"/>
      <c r="T31" s="165"/>
    </row>
    <row r="32" spans="2:20" s="3" customFormat="1" ht="18" customHeight="1" thickBot="1">
      <c r="B32" s="258"/>
      <c r="C32" s="32" t="s">
        <v>179</v>
      </c>
      <c r="D32" s="172">
        <f>+(D31-'Producción Laminados 2017'!D31)/'Producción Laminados 2017'!D31</f>
        <v>1.9999999999999969E-2</v>
      </c>
      <c r="E32" s="172">
        <f>+(E31-'Producción Laminados 2017'!E31)/'Producción Laminados 2017'!E31</f>
        <v>2.0000000000000018E-2</v>
      </c>
      <c r="F32" s="172">
        <f>+(F31-'Producción Laminados 2017'!F31)/'Producción Laminados 2017'!F31</f>
        <v>2.000000000000008E-2</v>
      </c>
      <c r="G32" s="172">
        <f>+(G31-'Producción Laminados 2017'!G31)/'Producción Laminados 2017'!G31</f>
        <v>1.9999999999999969E-2</v>
      </c>
      <c r="H32" s="172">
        <f>+(H31-'Producción Laminados 2017'!H31)/'Producción Laminados 2017'!H31</f>
        <v>1.9999999999999969E-2</v>
      </c>
      <c r="I32" s="172">
        <f>+(I31-'Producción Laminados 2017'!I31)/'Producción Laminados 2017'!I31</f>
        <v>1.9999999999999993E-2</v>
      </c>
      <c r="J32" s="172">
        <f>+(J31-'Producción Laminados 2017'!J31)/'Producción Laminados 2017'!J31</f>
        <v>2.0000000000000059E-2</v>
      </c>
      <c r="K32" s="172">
        <f>+(K31-'Producción Laminados 2017'!K31)/'Producción Laminados 2017'!K31</f>
        <v>2.0000000000000059E-2</v>
      </c>
      <c r="L32" s="172">
        <f>+(L31-'Producción Laminados 2017'!L31)/'Producción Laminados 2017'!L31</f>
        <v>1.9999999999999969E-2</v>
      </c>
      <c r="M32" s="172">
        <f>+(M31-'Producción Laminados 2017'!M31)/'Producción Laminados 2017'!M31</f>
        <v>1.9999999999999928E-2</v>
      </c>
      <c r="N32" s="172">
        <f>+(N31-'Producción Laminados 2017'!N31)/'Producción Laminados 2017'!N31</f>
        <v>2.0000000000000059E-2</v>
      </c>
      <c r="O32" s="172">
        <f>+(O31-'Producción Laminados 2017'!O31)/'Producción Laminados 2017'!O31</f>
        <v>2.0000000000000059E-2</v>
      </c>
      <c r="P32" s="139">
        <f ca="1">(P31-SUM('Producción Laminados 2017'!$D31:OFFSET('Producción Laminados 2017'!$D31,0,Índice!$Y$4)))/SUM('Producción Laminados 2017'!$D31:OFFSET('Producción Laminados 2017'!$D31,0,Índice!$Y$4))</f>
        <v>2.0000000000000011E-2</v>
      </c>
      <c r="Q32" s="229"/>
      <c r="R32" s="165"/>
      <c r="S32" s="165"/>
      <c r="T32" s="165"/>
    </row>
    <row r="33" spans="2:20" s="3" customFormat="1" ht="18" customHeight="1" thickTop="1">
      <c r="B33" s="256" t="s">
        <v>4</v>
      </c>
      <c r="C33" s="31" t="s">
        <v>65</v>
      </c>
      <c r="D33" s="170">
        <f>+'Producción Laminados 2017'!D33*1.04</f>
        <v>64.48</v>
      </c>
      <c r="E33" s="170">
        <f>+'Producción Laminados 2017'!E33*1.04</f>
        <v>62.400000000000006</v>
      </c>
      <c r="F33" s="170">
        <f>+'Producción Laminados 2017'!F33*1.04</f>
        <v>60.32</v>
      </c>
      <c r="G33" s="170">
        <f>+'Producción Laminados 2017'!G33*1.04</f>
        <v>63.440000000000005</v>
      </c>
      <c r="H33" s="170">
        <f>+'Producción Laminados 2017'!H33*1.04</f>
        <v>62.400000000000006</v>
      </c>
      <c r="I33" s="170">
        <f>+'Producción Laminados 2017'!I33*1.04</f>
        <v>61.36</v>
      </c>
      <c r="J33" s="170">
        <f>+'Producción Laminados 2017'!J33*1.04</f>
        <v>62.400000000000006</v>
      </c>
      <c r="K33" s="170">
        <f>+'Producción Laminados 2017'!K33*1.04</f>
        <v>60.32</v>
      </c>
      <c r="L33" s="170">
        <f>+'Producción Laminados 2017'!L33*1.04</f>
        <v>60.32</v>
      </c>
      <c r="M33" s="170">
        <f>+'Producción Laminados 2017'!M33*1.04</f>
        <v>59.28</v>
      </c>
      <c r="N33" s="170">
        <f>+'Producción Laminados 2017'!N33*1.04</f>
        <v>61.36</v>
      </c>
      <c r="O33" s="170">
        <f>+'Producción Laminados 2017'!O33*1.04</f>
        <v>60.32</v>
      </c>
      <c r="P33" s="34">
        <f>SUM(D33:O33)</f>
        <v>738.40000000000009</v>
      </c>
      <c r="Q33" s="229"/>
      <c r="R33" s="165"/>
      <c r="S33" s="165"/>
      <c r="T33" s="165"/>
    </row>
    <row r="34" spans="2:20" s="3" customFormat="1" ht="18" customHeight="1">
      <c r="B34" s="257"/>
      <c r="C34" s="29" t="s">
        <v>59</v>
      </c>
      <c r="D34" s="170">
        <f>+'Producción Laminados 2017'!D34*1.04</f>
        <v>0</v>
      </c>
      <c r="E34" s="170">
        <f>+'Producción Laminados 2017'!E34*1.04</f>
        <v>0</v>
      </c>
      <c r="F34" s="170">
        <f>+'Producción Laminados 2017'!F34*1.04</f>
        <v>0</v>
      </c>
      <c r="G34" s="170">
        <f>+'Producción Laminados 2017'!G34*1.04</f>
        <v>0</v>
      </c>
      <c r="H34" s="170">
        <f>+'Producción Laminados 2017'!H34*1.04</f>
        <v>0</v>
      </c>
      <c r="I34" s="170">
        <f>+'Producción Laminados 2017'!I34*1.04</f>
        <v>0</v>
      </c>
      <c r="J34" s="170">
        <f>+'Producción Laminados 2017'!J34*1.04</f>
        <v>0</v>
      </c>
      <c r="K34" s="170">
        <f>+'Producción Laminados 2017'!K34*1.04</f>
        <v>0</v>
      </c>
      <c r="L34" s="170">
        <f>+'Producción Laminados 2017'!L34*1.04</f>
        <v>0</v>
      </c>
      <c r="M34" s="170">
        <f>+'Producción Laminados 2017'!M34*1.04</f>
        <v>0</v>
      </c>
      <c r="N34" s="170">
        <f>+'Producción Laminados 2017'!N34*1.04</f>
        <v>0</v>
      </c>
      <c r="O34" s="170">
        <f>+'Producción Laminados 2017'!O34*1.04</f>
        <v>0</v>
      </c>
      <c r="P34" s="34">
        <f>SUM(D34:O34)</f>
        <v>0</v>
      </c>
      <c r="Q34" s="229"/>
      <c r="R34" s="165"/>
      <c r="S34" s="165"/>
      <c r="T34" s="165"/>
    </row>
    <row r="35" spans="2:20" s="3" customFormat="1" ht="18" customHeight="1">
      <c r="B35" s="257"/>
      <c r="C35" s="29" t="s">
        <v>60</v>
      </c>
      <c r="D35" s="170">
        <f>+'Producción Laminados 2017'!D35*1.04</f>
        <v>0</v>
      </c>
      <c r="E35" s="170">
        <f>+'Producción Laminados 2017'!E35*1.04</f>
        <v>0</v>
      </c>
      <c r="F35" s="170">
        <f>+'Producción Laminados 2017'!F35*1.04</f>
        <v>0</v>
      </c>
      <c r="G35" s="170">
        <f>+'Producción Laminados 2017'!G35*1.04</f>
        <v>0</v>
      </c>
      <c r="H35" s="170">
        <f>+'Producción Laminados 2017'!H35*1.04</f>
        <v>0</v>
      </c>
      <c r="I35" s="170">
        <f>+'Producción Laminados 2017'!I35*1.04</f>
        <v>0</v>
      </c>
      <c r="J35" s="170">
        <f>+'Producción Laminados 2017'!J35*1.04</f>
        <v>0</v>
      </c>
      <c r="K35" s="170">
        <f>+'Producción Laminados 2017'!K35*1.04</f>
        <v>0</v>
      </c>
      <c r="L35" s="170">
        <f>+'Producción Laminados 2017'!L35*1.04</f>
        <v>0</v>
      </c>
      <c r="M35" s="170">
        <f>+'Producción Laminados 2017'!M35*1.04</f>
        <v>0</v>
      </c>
      <c r="N35" s="170">
        <f>+'Producción Laminados 2017'!N35*1.04</f>
        <v>0</v>
      </c>
      <c r="O35" s="170">
        <f>+'Producción Laminados 2017'!O35*1.04</f>
        <v>0</v>
      </c>
      <c r="P35" s="34">
        <f>SUM(D35:O35)</f>
        <v>0</v>
      </c>
      <c r="Q35" s="229"/>
      <c r="R35" s="165"/>
      <c r="S35" s="165"/>
      <c r="T35" s="165"/>
    </row>
    <row r="36" spans="2:20" s="3" customFormat="1" ht="18" customHeight="1">
      <c r="B36" s="257"/>
      <c r="C36" s="29" t="s">
        <v>139</v>
      </c>
      <c r="D36" s="170">
        <f>+D33+D34+D35</f>
        <v>64.48</v>
      </c>
      <c r="E36" s="170">
        <f>+E33+E34+E35</f>
        <v>62.400000000000006</v>
      </c>
      <c r="F36" s="170">
        <f>+F33+F34+F35</f>
        <v>60.32</v>
      </c>
      <c r="G36" s="170">
        <f>+G33+G34+G35</f>
        <v>63.440000000000005</v>
      </c>
      <c r="H36" s="170">
        <f t="shared" ref="H36:P36" si="10">+H33+H34+H35</f>
        <v>62.400000000000006</v>
      </c>
      <c r="I36" s="170">
        <f t="shared" ref="I36:J36" si="11">+I33+I34+I35</f>
        <v>61.36</v>
      </c>
      <c r="J36" s="170">
        <f t="shared" si="11"/>
        <v>62.400000000000006</v>
      </c>
      <c r="K36" s="170">
        <f t="shared" si="10"/>
        <v>60.32</v>
      </c>
      <c r="L36" s="170">
        <f t="shared" si="10"/>
        <v>60.32</v>
      </c>
      <c r="M36" s="170">
        <f t="shared" ref="M36" si="12">+M33+M34+M35</f>
        <v>59.28</v>
      </c>
      <c r="N36" s="170">
        <f t="shared" si="10"/>
        <v>61.36</v>
      </c>
      <c r="O36" s="170">
        <f t="shared" ref="O36" si="13">+O33+O34+O35</f>
        <v>60.32</v>
      </c>
      <c r="P36" s="34">
        <f t="shared" si="10"/>
        <v>738.40000000000009</v>
      </c>
      <c r="Q36" s="229"/>
      <c r="R36" s="165"/>
      <c r="S36" s="165"/>
      <c r="T36" s="165"/>
    </row>
    <row r="37" spans="2:20" s="3" customFormat="1" ht="18" customHeight="1" thickBot="1">
      <c r="B37" s="258"/>
      <c r="C37" s="32" t="s">
        <v>179</v>
      </c>
      <c r="D37" s="172">
        <f>+(D36-'Producción Laminados 2017'!D36)/'Producción Laminados 2017'!D36</f>
        <v>4.0000000000000063E-2</v>
      </c>
      <c r="E37" s="172">
        <f>+(E36-'Producción Laminados 2017'!E36)/'Producción Laminados 2017'!E36</f>
        <v>4.0000000000000098E-2</v>
      </c>
      <c r="F37" s="172">
        <f>+(F36-'Producción Laminados 2017'!F36)/'Producción Laminados 2017'!F36</f>
        <v>4.0000000000000008E-2</v>
      </c>
      <c r="G37" s="172">
        <f>+(G36-'Producción Laminados 2017'!G36)/'Producción Laminados 2017'!G36</f>
        <v>4.0000000000000077E-2</v>
      </c>
      <c r="H37" s="172">
        <f>+(H36-'Producción Laminados 2017'!H36)/'Producción Laminados 2017'!H36</f>
        <v>4.0000000000000098E-2</v>
      </c>
      <c r="I37" s="172">
        <f>+(I36-'Producción Laminados 2017'!I36)/'Producción Laminados 2017'!I36</f>
        <v>3.9999999999999987E-2</v>
      </c>
      <c r="J37" s="172">
        <f>+(J36-'Producción Laminados 2017'!J36)/'Producción Laminados 2017'!J36</f>
        <v>4.0000000000000098E-2</v>
      </c>
      <c r="K37" s="172">
        <f>+(K36-'Producción Laminados 2017'!K36)/'Producción Laminados 2017'!K36</f>
        <v>4.0000000000000008E-2</v>
      </c>
      <c r="L37" s="172">
        <f>+(L36-'Producción Laminados 2017'!L36)/'Producción Laminados 2017'!L36</f>
        <v>4.0000000000000008E-2</v>
      </c>
      <c r="M37" s="172">
        <f>+(M36-'Producción Laminados 2017'!M36)/'Producción Laminados 2017'!M36</f>
        <v>4.0000000000000022E-2</v>
      </c>
      <c r="N37" s="172">
        <f>+(N36-'Producción Laminados 2017'!N36)/'Producción Laminados 2017'!N36</f>
        <v>3.9999999999999987E-2</v>
      </c>
      <c r="O37" s="172">
        <f>+(O36-'Producción Laminados 2017'!O36)/'Producción Laminados 2017'!O36</f>
        <v>4.0000000000000008E-2</v>
      </c>
      <c r="P37" s="139">
        <f ca="1">(P36-SUM('Producción Laminados 2017'!$D36:OFFSET('Producción Laminados 2017'!$D36,0,Índice!$Y$4)))/SUM('Producción Laminados 2017'!$D36:OFFSET('Producción Laminados 2017'!$D36,0,Índice!$Y$4))</f>
        <v>4.0000000000000126E-2</v>
      </c>
      <c r="Q37" s="229"/>
      <c r="R37" s="165"/>
      <c r="S37" s="165"/>
      <c r="T37" s="165"/>
    </row>
    <row r="38" spans="2:20" s="3" customFormat="1" ht="18" customHeight="1" thickTop="1">
      <c r="B38" s="256" t="s">
        <v>10</v>
      </c>
      <c r="C38" s="31" t="s">
        <v>65</v>
      </c>
      <c r="D38" s="170">
        <f>+'Producción Laminados 2017'!D38*1.03</f>
        <v>7.21</v>
      </c>
      <c r="E38" s="170">
        <f>+'Producción Laminados 2017'!E38*1.03</f>
        <v>8.24</v>
      </c>
      <c r="F38" s="170">
        <f>+'Producción Laminados 2017'!F38*1.03</f>
        <v>6.4889999999999999</v>
      </c>
      <c r="G38" s="170">
        <f>+'Producción Laminados 2017'!G38*1.03</f>
        <v>6.6950000000000003</v>
      </c>
      <c r="H38" s="170">
        <f>+'Producción Laminados 2017'!H38*1.03</f>
        <v>8.24</v>
      </c>
      <c r="I38" s="170">
        <f>+'Producción Laminados 2017'!I38*1.03</f>
        <v>8.24</v>
      </c>
      <c r="J38" s="170">
        <f>+'Producción Laminados 2017'!J38*1.03</f>
        <v>8.24</v>
      </c>
      <c r="K38" s="170">
        <f>+'Producción Laminados 2017'!K38*1.03</f>
        <v>7.21</v>
      </c>
      <c r="L38" s="170">
        <f>+'Producción Laminados 2017'!L38*1.03</f>
        <v>8.24</v>
      </c>
      <c r="M38" s="170">
        <f>+'Producción Laminados 2017'!M38*1.03</f>
        <v>7.21</v>
      </c>
      <c r="N38" s="170">
        <f>+'Producción Laminados 2017'!N38*1.03</f>
        <v>8.24</v>
      </c>
      <c r="O38" s="170">
        <f>+'Producción Laminados 2017'!O38*1.03</f>
        <v>8.24</v>
      </c>
      <c r="P38" s="34">
        <f>SUM(D38:O38)</f>
        <v>92.493999999999986</v>
      </c>
      <c r="Q38" s="229"/>
      <c r="R38" s="165"/>
      <c r="S38" s="165"/>
      <c r="T38" s="165"/>
    </row>
    <row r="39" spans="2:20" s="3" customFormat="1" ht="18" customHeight="1">
      <c r="B39" s="257"/>
      <c r="C39" s="29" t="s">
        <v>59</v>
      </c>
      <c r="D39" s="170">
        <f>+'Producción Laminados 2017'!D39*1.03</f>
        <v>0</v>
      </c>
      <c r="E39" s="170">
        <f>+'Producción Laminados 2017'!E39*1.03</f>
        <v>0</v>
      </c>
      <c r="F39" s="170">
        <f>+'Producción Laminados 2017'!F39*1.03</f>
        <v>0</v>
      </c>
      <c r="G39" s="170">
        <f>+'Producción Laminados 2017'!G39*1.03</f>
        <v>0</v>
      </c>
      <c r="H39" s="170">
        <f>+'Producción Laminados 2017'!H39*1.03</f>
        <v>0</v>
      </c>
      <c r="I39" s="170">
        <f>+'Producción Laminados 2017'!I39*1.03</f>
        <v>0</v>
      </c>
      <c r="J39" s="170">
        <f>+'Producción Laminados 2017'!J39*1.03</f>
        <v>0</v>
      </c>
      <c r="K39" s="170">
        <f>+'Producción Laminados 2017'!K39*1.03</f>
        <v>0</v>
      </c>
      <c r="L39" s="170">
        <f>+'Producción Laminados 2017'!L39*1.03</f>
        <v>0</v>
      </c>
      <c r="M39" s="170">
        <f>+'Producción Laminados 2017'!M39*1.03</f>
        <v>0</v>
      </c>
      <c r="N39" s="170">
        <f>+'Producción Laminados 2017'!N39*1.03</f>
        <v>0</v>
      </c>
      <c r="O39" s="170">
        <f>+'Producción Laminados 2017'!O39*1.03</f>
        <v>0</v>
      </c>
      <c r="P39" s="34">
        <f>SUM(D39:O39)</f>
        <v>0</v>
      </c>
      <c r="Q39" s="229"/>
      <c r="R39" s="165"/>
      <c r="S39" s="165"/>
      <c r="T39" s="165"/>
    </row>
    <row r="40" spans="2:20" s="3" customFormat="1" ht="18" customHeight="1">
      <c r="B40" s="257"/>
      <c r="C40" s="29" t="s">
        <v>60</v>
      </c>
      <c r="D40" s="170">
        <f>+'Producción Laminados 2017'!D40*1.03</f>
        <v>0</v>
      </c>
      <c r="E40" s="170">
        <f>+'Producción Laminados 2017'!E40*1.03</f>
        <v>0</v>
      </c>
      <c r="F40" s="170">
        <f>+'Producción Laminados 2017'!F40*1.03</f>
        <v>0</v>
      </c>
      <c r="G40" s="170">
        <f>+'Producción Laminados 2017'!G40*1.03</f>
        <v>0</v>
      </c>
      <c r="H40" s="170">
        <f>+'Producción Laminados 2017'!H40*1.03</f>
        <v>0</v>
      </c>
      <c r="I40" s="170">
        <f>+'Producción Laminados 2017'!I40*1.03</f>
        <v>0</v>
      </c>
      <c r="J40" s="170">
        <f>+'Producción Laminados 2017'!J40*1.03</f>
        <v>0</v>
      </c>
      <c r="K40" s="170">
        <f>+'Producción Laminados 2017'!K40*1.03</f>
        <v>0</v>
      </c>
      <c r="L40" s="170">
        <f>+'Producción Laminados 2017'!L40*1.03</f>
        <v>0</v>
      </c>
      <c r="M40" s="170">
        <f>+'Producción Laminados 2017'!M40*1.03</f>
        <v>0</v>
      </c>
      <c r="N40" s="170">
        <f>+'Producción Laminados 2017'!N40*1.03</f>
        <v>0</v>
      </c>
      <c r="O40" s="170">
        <f>+'Producción Laminados 2017'!O40*1.03</f>
        <v>0</v>
      </c>
      <c r="P40" s="34">
        <f>SUM(D40:O40)</f>
        <v>0</v>
      </c>
      <c r="Q40" s="229"/>
      <c r="R40" s="165"/>
      <c r="S40" s="165"/>
      <c r="T40" s="165"/>
    </row>
    <row r="41" spans="2:20" s="3" customFormat="1" ht="18" customHeight="1">
      <c r="B41" s="257"/>
      <c r="C41" s="29" t="s">
        <v>139</v>
      </c>
      <c r="D41" s="170">
        <f>+D38+D39+D40</f>
        <v>7.21</v>
      </c>
      <c r="E41" s="170">
        <f>+E38+E39+E40</f>
        <v>8.24</v>
      </c>
      <c r="F41" s="170">
        <f>+F38+F39+F40</f>
        <v>6.4889999999999999</v>
      </c>
      <c r="G41" s="170">
        <f>+G38+G39+G40</f>
        <v>6.6950000000000003</v>
      </c>
      <c r="H41" s="170">
        <f t="shared" ref="H41:P41" si="14">+H38+H39+H40</f>
        <v>8.24</v>
      </c>
      <c r="I41" s="170">
        <f t="shared" ref="I41:J41" si="15">+I38+I39+I40</f>
        <v>8.24</v>
      </c>
      <c r="J41" s="170">
        <f t="shared" si="15"/>
        <v>8.24</v>
      </c>
      <c r="K41" s="170">
        <f t="shared" si="14"/>
        <v>7.21</v>
      </c>
      <c r="L41" s="170">
        <f t="shared" si="14"/>
        <v>8.24</v>
      </c>
      <c r="M41" s="170">
        <f t="shared" ref="M41" si="16">+M38+M39+M40</f>
        <v>7.21</v>
      </c>
      <c r="N41" s="170">
        <f t="shared" si="14"/>
        <v>8.24</v>
      </c>
      <c r="O41" s="170">
        <f t="shared" si="14"/>
        <v>8.24</v>
      </c>
      <c r="P41" s="34">
        <f t="shared" si="14"/>
        <v>92.493999999999986</v>
      </c>
      <c r="Q41" s="229"/>
      <c r="R41" s="165"/>
      <c r="S41" s="165"/>
      <c r="T41" s="165"/>
    </row>
    <row r="42" spans="2:20" s="3" customFormat="1" ht="18" customHeight="1" thickBot="1">
      <c r="B42" s="258"/>
      <c r="C42" s="32" t="s">
        <v>179</v>
      </c>
      <c r="D42" s="172">
        <f>+(D41-'Producción Laminados 2017'!D41)/'Producción Laminados 2017'!D41</f>
        <v>2.9999999999999995E-2</v>
      </c>
      <c r="E42" s="172">
        <f>+(E41-'Producción Laminados 2017'!E41)/'Producción Laminados 2017'!E41</f>
        <v>3.0000000000000027E-2</v>
      </c>
      <c r="F42" s="172">
        <f>+(F41-'Producción Laminados 2017'!F41)/'Producción Laminados 2017'!F41</f>
        <v>3.0000000000000009E-2</v>
      </c>
      <c r="G42" s="172">
        <f>+(G41-'Producción Laminados 2017'!G41)/'Producción Laminados 2017'!G41</f>
        <v>3.0000000000000044E-2</v>
      </c>
      <c r="H42" s="172">
        <f>+(H41-'Producción Laminados 2017'!H41)/'Producción Laminados 2017'!H41</f>
        <v>3.0000000000000027E-2</v>
      </c>
      <c r="I42" s="172">
        <f>+(I41-'Producción Laminados 2017'!I41)/'Producción Laminados 2017'!I41</f>
        <v>3.0000000000000027E-2</v>
      </c>
      <c r="J42" s="172">
        <f>+(J41-'Producción Laminados 2017'!J41)/'Producción Laminados 2017'!J41</f>
        <v>3.0000000000000027E-2</v>
      </c>
      <c r="K42" s="172">
        <f>+(K41-'Producción Laminados 2017'!K41)/'Producción Laminados 2017'!K41</f>
        <v>2.9999999999999995E-2</v>
      </c>
      <c r="L42" s="172">
        <f>+(L41-'Producción Laminados 2017'!L41)/'Producción Laminados 2017'!L41</f>
        <v>3.0000000000000027E-2</v>
      </c>
      <c r="M42" s="172">
        <f>+(M41-'Producción Laminados 2017'!M41)/'Producción Laminados 2017'!M41</f>
        <v>2.9999999999999995E-2</v>
      </c>
      <c r="N42" s="172">
        <f>+(N41-'Producción Laminados 2017'!N41)/'Producción Laminados 2017'!N41</f>
        <v>3.0000000000000027E-2</v>
      </c>
      <c r="O42" s="172">
        <f>+(O41-'Producción Laminados 2017'!O41)/'Producción Laminados 2017'!O41</f>
        <v>3.0000000000000027E-2</v>
      </c>
      <c r="P42" s="139">
        <f ca="1">(P41-SUM('Producción Laminados 2017'!$D41:OFFSET('Producción Laminados 2017'!$D41,0,Índice!$Y$4)))/SUM('Producción Laminados 2017'!$D41:OFFSET('Producción Laminados 2017'!$D41,0,Índice!$Y$4))</f>
        <v>2.9999999999999871E-2</v>
      </c>
      <c r="Q42" s="229"/>
      <c r="R42" s="165"/>
      <c r="S42" s="165"/>
      <c r="T42" s="165"/>
    </row>
    <row r="43" spans="2:20" s="3" customFormat="1" ht="18" customHeight="1" thickTop="1">
      <c r="B43" s="256" t="s">
        <v>11</v>
      </c>
      <c r="C43" s="31" t="s">
        <v>65</v>
      </c>
      <c r="D43" s="170">
        <f>+'Producción Laminados 2017'!D43*1.02</f>
        <v>41.82</v>
      </c>
      <c r="E43" s="170">
        <f>+'Producción Laminados 2017'!E43*1.02</f>
        <v>37.74</v>
      </c>
      <c r="F43" s="170">
        <f>+'Producción Laminados 2017'!F43*1.02</f>
        <v>37.025999999999996</v>
      </c>
      <c r="G43" s="170">
        <f>+'Producción Laminados 2017'!G43*1.02</f>
        <v>34.782000000000004</v>
      </c>
      <c r="H43" s="170">
        <f>+'Producción Laminados 2017'!H43*1.02</f>
        <v>34.68</v>
      </c>
      <c r="I43" s="170">
        <f>+'Producción Laminados 2017'!I43*1.02</f>
        <v>37.74</v>
      </c>
      <c r="J43" s="170">
        <f>+'Producción Laminados 2017'!J43*1.02</f>
        <v>40.799999999999997</v>
      </c>
      <c r="K43" s="170">
        <f>+'Producción Laminados 2017'!K43*1.02</f>
        <v>39.78</v>
      </c>
      <c r="L43" s="170">
        <f>+'Producción Laminados 2017'!L43*1.02</f>
        <v>38.76</v>
      </c>
      <c r="M43" s="170">
        <f>+'Producción Laminados 2017'!M43*1.02</f>
        <v>35.700000000000003</v>
      </c>
      <c r="N43" s="170">
        <f>+'Producción Laminados 2017'!N43*1.02</f>
        <v>41.82</v>
      </c>
      <c r="O43" s="170">
        <f>+'Producción Laminados 2017'!O43*1.02</f>
        <v>42.84</v>
      </c>
      <c r="P43" s="34">
        <f>SUM(D43:O43)</f>
        <v>463.48800000000006</v>
      </c>
      <c r="Q43" s="229"/>
      <c r="R43" s="165"/>
      <c r="S43" s="165"/>
      <c r="T43" s="165"/>
    </row>
    <row r="44" spans="2:20" s="3" customFormat="1" ht="18" customHeight="1">
      <c r="B44" s="257"/>
      <c r="C44" s="29" t="s">
        <v>59</v>
      </c>
      <c r="D44" s="170">
        <f>+'Producción Laminados 2017'!D44*1.02</f>
        <v>0</v>
      </c>
      <c r="E44" s="170">
        <f>+'Producción Laminados 2017'!E44*1.02</f>
        <v>0</v>
      </c>
      <c r="F44" s="170">
        <f>+'Producción Laminados 2017'!F44*1.02</f>
        <v>0</v>
      </c>
      <c r="G44" s="170">
        <f>+'Producción Laminados 2017'!G44*1.02</f>
        <v>0</v>
      </c>
      <c r="H44" s="170">
        <f>+'Producción Laminados 2017'!H44*1.02</f>
        <v>0</v>
      </c>
      <c r="I44" s="170">
        <f>+'Producción Laminados 2017'!I44*1.02</f>
        <v>0</v>
      </c>
      <c r="J44" s="170">
        <f>+'Producción Laminados 2017'!J44*1.02</f>
        <v>0</v>
      </c>
      <c r="K44" s="170">
        <f>+'Producción Laminados 2017'!K44*1.02</f>
        <v>0</v>
      </c>
      <c r="L44" s="170">
        <f>+'Producción Laminados 2017'!L44*1.02</f>
        <v>0</v>
      </c>
      <c r="M44" s="170">
        <f>+'Producción Laminados 2017'!M44*1.02</f>
        <v>0</v>
      </c>
      <c r="N44" s="170">
        <f>+'Producción Laminados 2017'!N44*1.02</f>
        <v>0</v>
      </c>
      <c r="O44" s="170">
        <f>+'Producción Laminados 2017'!O44*1.02</f>
        <v>0</v>
      </c>
      <c r="P44" s="34">
        <f>SUM(D44:O44)</f>
        <v>0</v>
      </c>
      <c r="Q44" s="229"/>
      <c r="R44" s="165"/>
      <c r="S44" s="165"/>
      <c r="T44" s="165"/>
    </row>
    <row r="45" spans="2:20" s="3" customFormat="1" ht="18" customHeight="1">
      <c r="B45" s="257"/>
      <c r="C45" s="29" t="s">
        <v>60</v>
      </c>
      <c r="D45" s="170">
        <f>+'Producción Laminados 2017'!D45*1.02</f>
        <v>0</v>
      </c>
      <c r="E45" s="170">
        <f>+'Producción Laminados 2017'!E45*1.02</f>
        <v>0</v>
      </c>
      <c r="F45" s="170">
        <f>+'Producción Laminados 2017'!F45*1.02</f>
        <v>0</v>
      </c>
      <c r="G45" s="170">
        <f>+'Producción Laminados 2017'!G45*1.02</f>
        <v>0</v>
      </c>
      <c r="H45" s="170">
        <f>+'Producción Laminados 2017'!H45*1.02</f>
        <v>0</v>
      </c>
      <c r="I45" s="170">
        <f>+'Producción Laminados 2017'!I45*1.02</f>
        <v>0</v>
      </c>
      <c r="J45" s="170">
        <f>+'Producción Laminados 2017'!J45*1.02</f>
        <v>0</v>
      </c>
      <c r="K45" s="170">
        <f>+'Producción Laminados 2017'!K45*1.02</f>
        <v>0</v>
      </c>
      <c r="L45" s="170">
        <f>+'Producción Laminados 2017'!L45*1.02</f>
        <v>0</v>
      </c>
      <c r="M45" s="170">
        <f>+'Producción Laminados 2017'!M45*1.02</f>
        <v>0</v>
      </c>
      <c r="N45" s="170">
        <f>+'Producción Laminados 2017'!N45*1.02</f>
        <v>0</v>
      </c>
      <c r="O45" s="170">
        <f>+'Producción Laminados 2017'!O45*1.02</f>
        <v>0</v>
      </c>
      <c r="P45" s="34">
        <f>SUM(D45:O45)</f>
        <v>0</v>
      </c>
      <c r="Q45" s="229"/>
      <c r="R45" s="165"/>
      <c r="S45" s="165"/>
      <c r="T45" s="165"/>
    </row>
    <row r="46" spans="2:20" s="3" customFormat="1" ht="18" customHeight="1">
      <c r="B46" s="257"/>
      <c r="C46" s="29" t="s">
        <v>139</v>
      </c>
      <c r="D46" s="170">
        <f>+D43+D44+D45</f>
        <v>41.82</v>
      </c>
      <c r="E46" s="170">
        <f>+E43+E44+E45</f>
        <v>37.74</v>
      </c>
      <c r="F46" s="170">
        <f>+F43+F44+F45</f>
        <v>37.025999999999996</v>
      </c>
      <c r="G46" s="170">
        <f>+G43+G44+G45</f>
        <v>34.782000000000004</v>
      </c>
      <c r="H46" s="170">
        <f t="shared" ref="H46:P46" si="17">+H43+H44+H45</f>
        <v>34.68</v>
      </c>
      <c r="I46" s="170">
        <f t="shared" ref="I46:J46" si="18">+I43+I44+I45</f>
        <v>37.74</v>
      </c>
      <c r="J46" s="170">
        <f t="shared" si="18"/>
        <v>40.799999999999997</v>
      </c>
      <c r="K46" s="170">
        <f t="shared" si="17"/>
        <v>39.78</v>
      </c>
      <c r="L46" s="170">
        <f t="shared" si="17"/>
        <v>38.76</v>
      </c>
      <c r="M46" s="170">
        <f t="shared" ref="M46" si="19">+M43+M44+M45</f>
        <v>35.700000000000003</v>
      </c>
      <c r="N46" s="170">
        <f t="shared" si="17"/>
        <v>41.82</v>
      </c>
      <c r="O46" s="170">
        <f t="shared" si="17"/>
        <v>42.84</v>
      </c>
      <c r="P46" s="34">
        <f t="shared" si="17"/>
        <v>463.48800000000006</v>
      </c>
      <c r="Q46" s="229"/>
      <c r="R46" s="165"/>
      <c r="S46" s="165"/>
      <c r="T46" s="165"/>
    </row>
    <row r="47" spans="2:20" s="3" customFormat="1" ht="18" customHeight="1" thickBot="1">
      <c r="B47" s="258"/>
      <c r="C47" s="32" t="s">
        <v>179</v>
      </c>
      <c r="D47" s="172">
        <f>+(D46-'Producción Laminados 2017'!D46)/'Producción Laminados 2017'!D46</f>
        <v>2.0000000000000007E-2</v>
      </c>
      <c r="E47" s="172">
        <f>+(E46-'Producción Laminados 2017'!E46)/'Producción Laminados 2017'!E46</f>
        <v>2.0000000000000052E-2</v>
      </c>
      <c r="F47" s="172">
        <f>+(F46-'Producción Laminados 2017'!F46)/'Producción Laminados 2017'!F46</f>
        <v>1.9999999999999976E-2</v>
      </c>
      <c r="G47" s="172">
        <f>+(G46-'Producción Laminados 2017'!G46)/'Producción Laminados 2017'!G46</f>
        <v>2.0000000000000063E-2</v>
      </c>
      <c r="H47" s="172">
        <f>+(H46-'Producción Laminados 2017'!H46)/'Producción Laminados 2017'!H46</f>
        <v>1.999999999999999E-2</v>
      </c>
      <c r="I47" s="172">
        <f>+(I46-'Producción Laminados 2017'!I46)/'Producción Laminados 2017'!I46</f>
        <v>2.0000000000000052E-2</v>
      </c>
      <c r="J47" s="172">
        <f>+(J46-'Producción Laminados 2017'!J46)/'Producción Laminados 2017'!J46</f>
        <v>1.9999999999999928E-2</v>
      </c>
      <c r="K47" s="172">
        <f>+(K46-'Producción Laminados 2017'!K46)/'Producción Laminados 2017'!K46</f>
        <v>2.0000000000000028E-2</v>
      </c>
      <c r="L47" s="172">
        <f>+(L46-'Producción Laminados 2017'!L46)/'Producción Laminados 2017'!L46</f>
        <v>1.9999999999999948E-2</v>
      </c>
      <c r="M47" s="172">
        <f>+(M46-'Producción Laminados 2017'!M46)/'Producción Laminados 2017'!M46</f>
        <v>2.000000000000008E-2</v>
      </c>
      <c r="N47" s="172">
        <f>+(N46-'Producción Laminados 2017'!N46)/'Producción Laminados 2017'!N46</f>
        <v>2.0000000000000007E-2</v>
      </c>
      <c r="O47" s="172">
        <f>+(O46-'Producción Laminados 2017'!O46)/'Producción Laminados 2017'!O46</f>
        <v>2.000000000000008E-2</v>
      </c>
      <c r="P47" s="139">
        <f ca="1">(P46-SUM('Producción Laminados 2017'!$D46:OFFSET('Producción Laminados 2017'!$D46,0,Índice!$Y$4)))/SUM('Producción Laminados 2017'!$D46:OFFSET('Producción Laminados 2017'!$D46,0,Índice!$Y$4))</f>
        <v>2.0000000000000174E-2</v>
      </c>
      <c r="Q47" s="229"/>
      <c r="R47" s="165"/>
      <c r="S47" s="165"/>
      <c r="T47" s="165"/>
    </row>
    <row r="48" spans="2:20" ht="18" customHeight="1" thickTop="1">
      <c r="B48" s="256" t="s">
        <v>43</v>
      </c>
      <c r="C48" s="31" t="s">
        <v>65</v>
      </c>
      <c r="D48" s="171">
        <v>748.66399999999999</v>
      </c>
      <c r="E48" s="171">
        <v>709.19299999999998</v>
      </c>
      <c r="F48" s="171">
        <v>783.84</v>
      </c>
      <c r="G48" s="171">
        <v>750.98699999999997</v>
      </c>
      <c r="H48" s="171">
        <v>802.40499999999997</v>
      </c>
      <c r="I48" s="171">
        <v>759.50099999999998</v>
      </c>
      <c r="J48" s="171">
        <v>795.59400000000005</v>
      </c>
      <c r="K48" s="171">
        <v>704.51199999999994</v>
      </c>
      <c r="L48" s="171">
        <v>723.97799999999995</v>
      </c>
      <c r="M48" s="171">
        <v>734.077</v>
      </c>
      <c r="N48" s="171">
        <v>637.23500000000001</v>
      </c>
      <c r="O48" s="171">
        <v>704.08699999999999</v>
      </c>
      <c r="P48" s="34">
        <f>SUM(D48:O48)</f>
        <v>8854.0730000000003</v>
      </c>
      <c r="Q48" s="229"/>
      <c r="R48" s="154"/>
      <c r="S48" s="154"/>
      <c r="T48" s="154"/>
    </row>
    <row r="49" spans="2:20" ht="18" customHeight="1">
      <c r="B49" s="257"/>
      <c r="C49" s="29" t="s">
        <v>59</v>
      </c>
      <c r="D49" s="171">
        <v>777.64300000000003</v>
      </c>
      <c r="E49" s="171">
        <v>765.39</v>
      </c>
      <c r="F49" s="171">
        <v>872.49900000000002</v>
      </c>
      <c r="G49" s="171">
        <v>842.04100000000005</v>
      </c>
      <c r="H49" s="171">
        <v>795.46199999999999</v>
      </c>
      <c r="I49" s="171">
        <v>816.476</v>
      </c>
      <c r="J49" s="171">
        <v>758.69899999999996</v>
      </c>
      <c r="K49" s="171">
        <v>728.72699999999998</v>
      </c>
      <c r="L49" s="171">
        <v>684.64499999999998</v>
      </c>
      <c r="M49" s="171">
        <v>737.86699999999996</v>
      </c>
      <c r="N49" s="171">
        <v>660.01400000000001</v>
      </c>
      <c r="O49" s="171">
        <v>760.58900000000006</v>
      </c>
      <c r="P49" s="34">
        <f>SUM(D49:O49)</f>
        <v>9200.0519999999997</v>
      </c>
      <c r="Q49" s="229"/>
      <c r="R49" s="154">
        <v>1467</v>
      </c>
      <c r="S49" s="154"/>
      <c r="T49" s="154"/>
    </row>
    <row r="50" spans="2:20" ht="18" customHeight="1">
      <c r="B50" s="257"/>
      <c r="C50" s="29" t="s">
        <v>60</v>
      </c>
      <c r="D50" s="171">
        <v>81.686999999999998</v>
      </c>
      <c r="E50" s="171">
        <v>72.34</v>
      </c>
      <c r="F50" s="171">
        <v>87.394000000000005</v>
      </c>
      <c r="G50" s="171">
        <v>95.31</v>
      </c>
      <c r="H50" s="171">
        <v>79.915000000000006</v>
      </c>
      <c r="I50" s="171">
        <v>86.278000000000006</v>
      </c>
      <c r="J50" s="171">
        <v>82.558999999999997</v>
      </c>
      <c r="K50" s="171">
        <v>87.962999999999994</v>
      </c>
      <c r="L50" s="171">
        <v>82.501999999999995</v>
      </c>
      <c r="M50" s="171">
        <v>83.887</v>
      </c>
      <c r="N50" s="171">
        <v>71.400999999999996</v>
      </c>
      <c r="O50" s="171">
        <v>63.683999999999997</v>
      </c>
      <c r="P50" s="34">
        <f>SUM(D50:O50)</f>
        <v>974.92</v>
      </c>
      <c r="Q50" s="229"/>
      <c r="R50" s="154"/>
      <c r="S50" s="154"/>
      <c r="T50" s="154"/>
    </row>
    <row r="51" spans="2:20" ht="18" customHeight="1">
      <c r="B51" s="257"/>
      <c r="C51" s="29" t="s">
        <v>139</v>
      </c>
      <c r="D51" s="171">
        <f>+D48+D49+D50</f>
        <v>1607.9939999999999</v>
      </c>
      <c r="E51" s="171">
        <f>+E48+E49+E50</f>
        <v>1546.923</v>
      </c>
      <c r="F51" s="171">
        <f t="shared" ref="F51:P51" si="20">+F48+F49+F50</f>
        <v>1743.7329999999999</v>
      </c>
      <c r="G51" s="171">
        <f t="shared" si="20"/>
        <v>1688.338</v>
      </c>
      <c r="H51" s="171">
        <f t="shared" si="20"/>
        <v>1677.7819999999999</v>
      </c>
      <c r="I51" s="171">
        <f t="shared" si="20"/>
        <v>1662.2549999999999</v>
      </c>
      <c r="J51" s="171">
        <f t="shared" si="20"/>
        <v>1636.8520000000001</v>
      </c>
      <c r="K51" s="171">
        <f t="shared" si="20"/>
        <v>1521.202</v>
      </c>
      <c r="L51" s="171">
        <f t="shared" si="20"/>
        <v>1491.125</v>
      </c>
      <c r="M51" s="171">
        <f t="shared" si="20"/>
        <v>1555.8309999999999</v>
      </c>
      <c r="N51" s="171">
        <f t="shared" si="20"/>
        <v>1368.65</v>
      </c>
      <c r="O51" s="171">
        <f t="shared" si="20"/>
        <v>1528.36</v>
      </c>
      <c r="P51" s="34">
        <f t="shared" si="20"/>
        <v>19029.044999999998</v>
      </c>
      <c r="Q51" s="229"/>
      <c r="R51" s="155"/>
      <c r="S51" s="243">
        <f>+P51/P81</f>
        <v>0.3538805032252122</v>
      </c>
      <c r="T51" s="154"/>
    </row>
    <row r="52" spans="2:20" ht="18" customHeight="1" thickBot="1">
      <c r="B52" s="258"/>
      <c r="C52" s="32" t="s">
        <v>179</v>
      </c>
      <c r="D52" s="35">
        <f>+(D51-'Producción Laminados 2017'!D51)/'Producción Laminados 2017'!D51</f>
        <v>7.1698484291410703E-3</v>
      </c>
      <c r="E52" s="35">
        <f>+(E51-'Producción Laminados 2017'!E51)/'Producción Laminados 2017'!E51</f>
        <v>4.2866860329109309E-2</v>
      </c>
      <c r="F52" s="35">
        <f>+(F51-'Producción Laminados 2017'!F51)/'Producción Laminados 2017'!F51</f>
        <v>0.11200724445904102</v>
      </c>
      <c r="G52" s="35">
        <f>+(G51-'Producción Laminados 2017'!G51)/'Producción Laminados 2017'!G51</f>
        <v>8.7864874024951467E-2</v>
      </c>
      <c r="H52" s="35">
        <f>+(H51-'Producción Laminados 2017'!H51)/'Producción Laminados 2017'!H51</f>
        <v>4.1606989979282971E-2</v>
      </c>
      <c r="I52" s="35">
        <f>+(I51-'Producción Laminados 2017'!I51)/'Producción Laminados 2017'!I51</f>
        <v>3.2107784698834546E-2</v>
      </c>
      <c r="J52" s="35">
        <f>+(J51-'Producción Laminados 2017'!J51)/'Producción Laminados 2017'!J51</f>
        <v>3.2974231368022744E-2</v>
      </c>
      <c r="K52" s="35">
        <f>+(K51-'Producción Laminados 2017'!K51)/'Producción Laminados 2017'!K51</f>
        <v>-1.8193599937007414E-2</v>
      </c>
      <c r="L52" s="35">
        <f>+(L51-'Producción Laminados 2017'!L51)/'Producción Laminados 2017'!L51</f>
        <v>-1.9102544199178503E-2</v>
      </c>
      <c r="M52" s="35">
        <f>+(M51-'Producción Laminados 2017'!M51)/'Producción Laminados 2017'!M51</f>
        <v>-4.0182881081205933E-3</v>
      </c>
      <c r="N52" s="35">
        <f>+(N51-'Producción Laminados 2017'!N51)/'Producción Laminados 2017'!N51</f>
        <v>-9.8059838505493699E-2</v>
      </c>
      <c r="O52" s="35">
        <f>+(O51-'Producción Laminados 2017'!O51)/'Producción Laminados 2017'!O51</f>
        <v>-6.6205365325444597E-3</v>
      </c>
      <c r="P52" s="139">
        <f ca="1">(P51-SUM('Producción Laminados 2017'!$D51:OFFSET('Producción Laminados 2017'!$D51,0,Índice!$Y$4)))/SUM('Producción Laminados 2017'!$D51:OFFSET('Producción Laminados 2017'!$D51,0,Índice!$Y$4))</f>
        <v>1.7948678582274447E-2</v>
      </c>
      <c r="Q52" s="229"/>
      <c r="R52" s="154"/>
      <c r="S52" s="14"/>
      <c r="T52" s="154"/>
    </row>
    <row r="53" spans="2:20" s="3" customFormat="1" ht="18" customHeight="1" thickTop="1">
      <c r="B53" s="256" t="s">
        <v>6</v>
      </c>
      <c r="C53" s="31" t="s">
        <v>65</v>
      </c>
      <c r="D53" s="170">
        <f>+'Producción Laminados 2017'!D53*1.04</f>
        <v>2.08</v>
      </c>
      <c r="E53" s="170">
        <f>+'Producción Laminados 2017'!E53*1.04</f>
        <v>1.04</v>
      </c>
      <c r="F53" s="170">
        <f>+'Producción Laminados 2017'!F53*1.04</f>
        <v>0.41600000000000004</v>
      </c>
      <c r="G53" s="170">
        <f>+'Producción Laminados 2017'!G53*1.04</f>
        <v>4.2639999999999993</v>
      </c>
      <c r="H53" s="170">
        <f>+'Producción Laminados 2017'!H53*1.04</f>
        <v>1.976</v>
      </c>
      <c r="I53" s="170">
        <f>+'Producción Laminados 2017'!I53*1.04</f>
        <v>2.08</v>
      </c>
      <c r="J53" s="170">
        <f>+'Producción Laminados 2017'!J53*1.04</f>
        <v>1.6640000000000001</v>
      </c>
      <c r="K53" s="170">
        <f>+'Producción Laminados 2017'!K53*1.04</f>
        <v>2.08</v>
      </c>
      <c r="L53" s="170">
        <f>+'Producción Laminados 2017'!L53*1.04</f>
        <v>1.768</v>
      </c>
      <c r="M53" s="170">
        <f>+'Producción Laminados 2017'!M53*1.04</f>
        <v>1.6640000000000001</v>
      </c>
      <c r="N53" s="170">
        <f>+'Producción Laminados 2017'!N53*1.04</f>
        <v>1.6640000000000001</v>
      </c>
      <c r="O53" s="170">
        <f>+'Producción Laminados 2017'!O53*1.04</f>
        <v>1.56</v>
      </c>
      <c r="P53" s="34">
        <f>SUM(D53:O53)</f>
        <v>22.256</v>
      </c>
      <c r="Q53" s="229"/>
      <c r="R53" s="165"/>
      <c r="S53" s="165"/>
      <c r="T53" s="165"/>
    </row>
    <row r="54" spans="2:20" s="3" customFormat="1" ht="18" customHeight="1">
      <c r="B54" s="257"/>
      <c r="C54" s="29" t="s">
        <v>59</v>
      </c>
      <c r="D54" s="170">
        <f>+'Producción Laminados 2017'!D54*1.04</f>
        <v>0</v>
      </c>
      <c r="E54" s="170">
        <f>+'Producción Laminados 2017'!E54*1.04</f>
        <v>0</v>
      </c>
      <c r="F54" s="170">
        <f>+'Producción Laminados 2017'!F54*1.04</f>
        <v>0</v>
      </c>
      <c r="G54" s="170">
        <f>+'Producción Laminados 2017'!G54*1.04</f>
        <v>0</v>
      </c>
      <c r="H54" s="170">
        <f>+'Producción Laminados 2017'!H54*1.04</f>
        <v>0</v>
      </c>
      <c r="I54" s="170">
        <f>+'Producción Laminados 2017'!I54*1.04</f>
        <v>0</v>
      </c>
      <c r="J54" s="170">
        <f>+'Producción Laminados 2017'!J54*1.04</f>
        <v>0</v>
      </c>
      <c r="K54" s="170">
        <f>+'Producción Laminados 2017'!K54*1.04</f>
        <v>0</v>
      </c>
      <c r="L54" s="170">
        <f>+'Producción Laminados 2017'!L54*1.04</f>
        <v>0</v>
      </c>
      <c r="M54" s="170">
        <f>+'Producción Laminados 2017'!M54*1.04</f>
        <v>0</v>
      </c>
      <c r="N54" s="170">
        <f>+'Producción Laminados 2017'!N54*1.04</f>
        <v>0</v>
      </c>
      <c r="O54" s="170">
        <f>+'Producción Laminados 2017'!O54*1.04</f>
        <v>0</v>
      </c>
      <c r="P54" s="34">
        <f>SUM(D54:O54)</f>
        <v>0</v>
      </c>
      <c r="Q54" s="229"/>
      <c r="R54" s="165"/>
      <c r="S54" s="165"/>
      <c r="T54" s="165"/>
    </row>
    <row r="55" spans="2:20" s="3" customFormat="1" ht="18" customHeight="1">
      <c r="B55" s="257"/>
      <c r="C55" s="29" t="s">
        <v>60</v>
      </c>
      <c r="D55" s="170">
        <f>+'Producción Laminados 2017'!D55*1.04</f>
        <v>0</v>
      </c>
      <c r="E55" s="170">
        <f>+'Producción Laminados 2017'!E55*1.04</f>
        <v>0</v>
      </c>
      <c r="F55" s="170">
        <f>+'Producción Laminados 2017'!F55*1.04</f>
        <v>0</v>
      </c>
      <c r="G55" s="170">
        <f>+'Producción Laminados 2017'!G55*1.04</f>
        <v>0</v>
      </c>
      <c r="H55" s="170">
        <f>+'Producción Laminados 2017'!H55*1.04</f>
        <v>0</v>
      </c>
      <c r="I55" s="170">
        <f>+'Producción Laminados 2017'!I55*1.04</f>
        <v>0</v>
      </c>
      <c r="J55" s="170">
        <f>+'Producción Laminados 2017'!J55*1.04</f>
        <v>0</v>
      </c>
      <c r="K55" s="170">
        <f>+'Producción Laminados 2017'!K55*1.04</f>
        <v>0</v>
      </c>
      <c r="L55" s="170">
        <f>+'Producción Laminados 2017'!L55*1.04</f>
        <v>0</v>
      </c>
      <c r="M55" s="170">
        <f>+'Producción Laminados 2017'!M55*1.04</f>
        <v>0</v>
      </c>
      <c r="N55" s="170">
        <f>+'Producción Laminados 2017'!N55*1.04</f>
        <v>0</v>
      </c>
      <c r="O55" s="170">
        <f>+'Producción Laminados 2017'!O55*1.04</f>
        <v>0</v>
      </c>
      <c r="P55" s="34">
        <f>SUM(D55:O55)</f>
        <v>0</v>
      </c>
      <c r="Q55" s="229"/>
      <c r="R55" s="165"/>
      <c r="S55" s="165"/>
      <c r="T55" s="165"/>
    </row>
    <row r="56" spans="2:20" s="3" customFormat="1" ht="18" customHeight="1">
      <c r="B56" s="257"/>
      <c r="C56" s="29" t="s">
        <v>139</v>
      </c>
      <c r="D56" s="170">
        <f>+D53+D54+D55</f>
        <v>2.08</v>
      </c>
      <c r="E56" s="170">
        <f>+E53+E54+E55</f>
        <v>1.04</v>
      </c>
      <c r="F56" s="170">
        <f>+F53+F54+F55</f>
        <v>0.41600000000000004</v>
      </c>
      <c r="G56" s="170">
        <f>+G53+G54+G55</f>
        <v>4.2639999999999993</v>
      </c>
      <c r="H56" s="170">
        <f t="shared" ref="H56:O56" si="21">+H53+H54+H55</f>
        <v>1.976</v>
      </c>
      <c r="I56" s="170">
        <f t="shared" ref="I56:J56" si="22">+I53+I54+I55</f>
        <v>2.08</v>
      </c>
      <c r="J56" s="170">
        <f t="shared" si="22"/>
        <v>1.6640000000000001</v>
      </c>
      <c r="K56" s="170">
        <f t="shared" si="21"/>
        <v>2.08</v>
      </c>
      <c r="L56" s="170">
        <f t="shared" si="21"/>
        <v>1.768</v>
      </c>
      <c r="M56" s="170">
        <f t="shared" ref="M56" si="23">+M53+M54+M55</f>
        <v>1.6640000000000001</v>
      </c>
      <c r="N56" s="170">
        <f t="shared" si="21"/>
        <v>1.6640000000000001</v>
      </c>
      <c r="O56" s="170">
        <f t="shared" si="21"/>
        <v>1.56</v>
      </c>
      <c r="P56" s="34">
        <f>+P53+P54+P55</f>
        <v>22.256</v>
      </c>
      <c r="Q56" s="229"/>
      <c r="R56" s="165"/>
      <c r="S56" s="165"/>
      <c r="T56" s="165"/>
    </row>
    <row r="57" spans="2:20" s="3" customFormat="1" ht="18" customHeight="1" thickBot="1">
      <c r="B57" s="258"/>
      <c r="C57" s="32" t="s">
        <v>179</v>
      </c>
      <c r="D57" s="172">
        <f>+(D56-'Producción Laminados 2017'!D56)/'Producción Laminados 2017'!D56</f>
        <v>4.0000000000000036E-2</v>
      </c>
      <c r="E57" s="172">
        <f>+(E56-'Producción Laminados 2017'!E56)/'Producción Laminados 2017'!E56</f>
        <v>4.0000000000000036E-2</v>
      </c>
      <c r="F57" s="172">
        <f>+(F56-'Producción Laminados 2017'!F56)/'Producción Laminados 2017'!F56</f>
        <v>4.0000000000000036E-2</v>
      </c>
      <c r="G57" s="172">
        <f>+(G56-'Producción Laminados 2017'!G56)/'Producción Laminados 2017'!G56</f>
        <v>3.9999999999999931E-2</v>
      </c>
      <c r="H57" s="172">
        <f>+(H56-'Producción Laminados 2017'!H56)/'Producción Laminados 2017'!H56</f>
        <v>4.0000000000000036E-2</v>
      </c>
      <c r="I57" s="172">
        <f>+(I56-'Producción Laminados 2017'!I56)/'Producción Laminados 2017'!I56</f>
        <v>4.0000000000000036E-2</v>
      </c>
      <c r="J57" s="172">
        <f>+(J56-'Producción Laminados 2017'!J56)/'Producción Laminados 2017'!J56</f>
        <v>4.0000000000000036E-2</v>
      </c>
      <c r="K57" s="172">
        <f>+(K56-'Producción Laminados 2017'!K56)/'Producción Laminados 2017'!K56</f>
        <v>4.0000000000000036E-2</v>
      </c>
      <c r="L57" s="172">
        <f>+(L56-'Producción Laminados 2017'!L56)/'Producción Laminados 2017'!L56</f>
        <v>4.0000000000000036E-2</v>
      </c>
      <c r="M57" s="172">
        <f>+(M56-'Producción Laminados 2017'!M56)/'Producción Laminados 2017'!M56</f>
        <v>4.0000000000000036E-2</v>
      </c>
      <c r="N57" s="172">
        <f>+(N56-'Producción Laminados 2017'!N56)/'Producción Laminados 2017'!N56</f>
        <v>4.0000000000000036E-2</v>
      </c>
      <c r="O57" s="172">
        <f>+(O56-'Producción Laminados 2017'!O56)/'Producción Laminados 2017'!O56</f>
        <v>4.0000000000000036E-2</v>
      </c>
      <c r="P57" s="139">
        <f ca="1">(P56-SUM('Producción Laminados 2017'!$D56:OFFSET('Producción Laminados 2017'!$D56,0,Índice!$Y$4)))/SUM('Producción Laminados 2017'!$D56:OFFSET('Producción Laminados 2017'!$D56,0,Índice!$Y$4))</f>
        <v>3.9999999999999904E-2</v>
      </c>
      <c r="Q57" s="229"/>
      <c r="R57" s="165"/>
      <c r="S57" s="165"/>
      <c r="T57" s="165"/>
    </row>
    <row r="58" spans="2:20" s="3" customFormat="1" ht="18" customHeight="1" thickTop="1">
      <c r="B58" s="262" t="s">
        <v>44</v>
      </c>
      <c r="C58" s="31" t="s">
        <v>65</v>
      </c>
      <c r="D58" s="171">
        <v>112.99386116100027</v>
      </c>
      <c r="E58" s="171">
        <v>100.95850027700006</v>
      </c>
      <c r="F58" s="171">
        <v>125.76964751300011</v>
      </c>
      <c r="G58" s="171">
        <v>119.81912755800009</v>
      </c>
      <c r="H58" s="171">
        <v>120.1779111980001</v>
      </c>
      <c r="I58" s="171">
        <v>134.56404823700018</v>
      </c>
      <c r="J58" s="170">
        <v>125</v>
      </c>
      <c r="K58" s="170">
        <v>119</v>
      </c>
      <c r="L58" s="170">
        <v>120</v>
      </c>
      <c r="M58" s="170">
        <v>127</v>
      </c>
      <c r="N58" s="170">
        <v>123</v>
      </c>
      <c r="O58" s="170">
        <v>120</v>
      </c>
      <c r="P58" s="34">
        <f>SUM(D58:O58)</f>
        <v>1448.2830959440007</v>
      </c>
      <c r="Q58" s="229"/>
      <c r="R58" s="165"/>
      <c r="S58" s="165"/>
      <c r="T58" s="165"/>
    </row>
    <row r="59" spans="2:20" s="3" customFormat="1" ht="18" customHeight="1">
      <c r="B59" s="263"/>
      <c r="C59" s="29" t="s">
        <v>59</v>
      </c>
      <c r="D59" s="171">
        <v>4.4356585729999951</v>
      </c>
      <c r="E59" s="171">
        <v>4.5214989069999989</v>
      </c>
      <c r="F59" s="171">
        <v>3.9964632099999995</v>
      </c>
      <c r="G59" s="171">
        <v>4.9222535579999978</v>
      </c>
      <c r="H59" s="171">
        <v>6.073757412</v>
      </c>
      <c r="I59" s="171">
        <v>4.3545985039999975</v>
      </c>
      <c r="J59" s="170">
        <v>3.7858494900000048</v>
      </c>
      <c r="K59" s="170">
        <v>5</v>
      </c>
      <c r="L59" s="170">
        <v>5</v>
      </c>
      <c r="M59" s="170">
        <v>5</v>
      </c>
      <c r="N59" s="170">
        <v>5</v>
      </c>
      <c r="O59" s="170">
        <v>5</v>
      </c>
      <c r="P59" s="34">
        <f>SUM(D59:O59)</f>
        <v>57.090079653999993</v>
      </c>
      <c r="Q59" s="229"/>
      <c r="R59" s="165"/>
      <c r="S59" s="165"/>
      <c r="T59" s="165"/>
    </row>
    <row r="60" spans="2:20" s="3" customFormat="1" ht="18" customHeight="1">
      <c r="B60" s="263"/>
      <c r="C60" s="29" t="s">
        <v>60</v>
      </c>
      <c r="D60" s="170">
        <f>+'Producción Laminados 2017'!D60*1.09</f>
        <v>0</v>
      </c>
      <c r="E60" s="170">
        <f>+'Producción Laminados 2017'!E60*1.2</f>
        <v>0</v>
      </c>
      <c r="F60" s="170">
        <f>+'Producción Laminados 2017'!F60*1.09</f>
        <v>0</v>
      </c>
      <c r="G60" s="170">
        <v>0</v>
      </c>
      <c r="H60" s="34">
        <v>0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34">
        <f>SUM(D60:O60)</f>
        <v>0</v>
      </c>
      <c r="Q60" s="229"/>
      <c r="R60" s="165"/>
      <c r="S60" s="165"/>
      <c r="T60" s="165"/>
    </row>
    <row r="61" spans="2:20" s="3" customFormat="1" ht="18" customHeight="1">
      <c r="B61" s="263"/>
      <c r="C61" s="29" t="s">
        <v>139</v>
      </c>
      <c r="D61" s="171">
        <f>+D58+D59+D60</f>
        <v>117.42951973400027</v>
      </c>
      <c r="E61" s="171">
        <f>+E58+E59+E60</f>
        <v>105.47999918400005</v>
      </c>
      <c r="F61" s="171">
        <f>+F58+F59+F60</f>
        <v>129.76611072300011</v>
      </c>
      <c r="G61" s="171">
        <f t="shared" ref="G61:O61" si="24">+G58+G59+G60</f>
        <v>124.74138111600008</v>
      </c>
      <c r="H61" s="171">
        <f t="shared" si="24"/>
        <v>126.25166861000011</v>
      </c>
      <c r="I61" s="171">
        <f t="shared" si="24"/>
        <v>138.91864674100017</v>
      </c>
      <c r="J61" s="170">
        <f t="shared" si="24"/>
        <v>128.78584949</v>
      </c>
      <c r="K61" s="170">
        <f t="shared" si="24"/>
        <v>124</v>
      </c>
      <c r="L61" s="170">
        <f t="shared" si="24"/>
        <v>125</v>
      </c>
      <c r="M61" s="170">
        <f t="shared" ref="M61" si="25">+M58+M59+M60</f>
        <v>132</v>
      </c>
      <c r="N61" s="170">
        <f t="shared" si="24"/>
        <v>128</v>
      </c>
      <c r="O61" s="170">
        <f t="shared" si="24"/>
        <v>125</v>
      </c>
      <c r="P61" s="34">
        <f>+P58+P59+P60</f>
        <v>1505.3731755980007</v>
      </c>
      <c r="Q61" s="229"/>
      <c r="R61" s="165"/>
      <c r="S61" s="165"/>
      <c r="T61" s="165"/>
    </row>
    <row r="62" spans="2:20" s="3" customFormat="1" ht="18" customHeight="1" thickBot="1">
      <c r="B62" s="264"/>
      <c r="C62" s="32" t="s">
        <v>179</v>
      </c>
      <c r="D62" s="35">
        <f>+(D61-'Producción Laminados 2017'!D61)/'Producción Laminados 2017'!D61</f>
        <v>-5.6513718262559326E-2</v>
      </c>
      <c r="E62" s="35">
        <f>+(E61-'Producción Laminados 2017'!E61)/'Producción Laminados 2017'!E61</f>
        <v>1.387980299127272E-2</v>
      </c>
      <c r="F62" s="35">
        <f>+(F61-'Producción Laminados 2017'!F61)/'Producción Laminados 2017'!F61</f>
        <v>4.4236068628117013E-2</v>
      </c>
      <c r="G62" s="35">
        <f>+(G61-'Producción Laminados 2017'!G61)/'Producción Laminados 2017'!G61</f>
        <v>-5.2901615561578318E-2</v>
      </c>
      <c r="H62" s="35">
        <f>+(H61-'Producción Laminados 2017'!H61)/'Producción Laminados 2017'!H61</f>
        <v>-7.0250100448482497E-2</v>
      </c>
      <c r="I62" s="35">
        <f>+(I61-'Producción Laminados 2017'!I61)/'Producción Laminados 2017'!I61</f>
        <v>0.15452324508581078</v>
      </c>
      <c r="J62" s="172">
        <f>+(J61-'Producción Laminados 2017'!J61)/'Producción Laminados 2017'!J61</f>
        <v>2.5422346204987768E-2</v>
      </c>
      <c r="K62" s="172">
        <f>+(K61-'Producción Laminados 2017'!K61)/'Producción Laminados 2017'!K61</f>
        <v>-8.6672110621926937E-2</v>
      </c>
      <c r="L62" s="172">
        <f>+(L61-'Producción Laminados 2017'!L61)/'Producción Laminados 2017'!L61</f>
        <v>-1.8599021430481862E-2</v>
      </c>
      <c r="M62" s="172">
        <f>+(M61-'Producción Laminados 2017'!M61)/'Producción Laminados 2017'!M61</f>
        <v>-8.3122157656273753E-3</v>
      </c>
      <c r="N62" s="172">
        <f>+(N61-'Producción Laminados 2017'!N61)/'Producción Laminados 2017'!N61</f>
        <v>4.157049913763154E-3</v>
      </c>
      <c r="O62" s="172">
        <f>+(O61-'Producción Laminados 2017'!O61)/'Producción Laminados 2017'!O61</f>
        <v>-1.5309523558351062E-2</v>
      </c>
      <c r="P62" s="139">
        <f ca="1">(P61-SUM('Producción Laminados 2017'!$D61:OFFSET('Producción Laminados 2017'!$D61,0,Índice!$Y$4)))/SUM('Producción Laminados 2017'!$D61:OFFSET('Producción Laminados 2017'!$D61,0,Índice!$Y$4))</f>
        <v>-7.5616475462352206E-3</v>
      </c>
      <c r="Q62" s="229"/>
      <c r="R62" s="165"/>
      <c r="S62" s="165"/>
      <c r="T62" s="165"/>
    </row>
    <row r="63" spans="2:20" s="3" customFormat="1" ht="18" customHeight="1" thickTop="1">
      <c r="B63" s="262" t="s">
        <v>64</v>
      </c>
      <c r="C63" s="31" t="s">
        <v>65</v>
      </c>
      <c r="D63" s="170">
        <f>+'Producción Laminados 2017'!D63*1.11</f>
        <v>36.630000000000003</v>
      </c>
      <c r="E63" s="170">
        <f>+'Producción Laminados 2017'!E63*1.11</f>
        <v>38.85</v>
      </c>
      <c r="F63" s="170">
        <f>+'Producción Laminados 2017'!F63*1.11</f>
        <v>39.96</v>
      </c>
      <c r="G63" s="170">
        <f>+'Producción Laminados 2017'!G63*1.11</f>
        <v>37.185000000000002</v>
      </c>
      <c r="H63" s="170">
        <f>+'Producción Laminados 2017'!H63*1.11</f>
        <v>35.520000000000003</v>
      </c>
      <c r="I63" s="170">
        <f>+'Producción Laminados 2017'!I63*1.11</f>
        <v>38.85</v>
      </c>
      <c r="J63" s="170">
        <f>+'Producción Laminados 2017'!J63*1.11</f>
        <v>42.180000000000007</v>
      </c>
      <c r="K63" s="170">
        <f>+'Producción Laminados 2017'!K63*1.11</f>
        <v>41.07</v>
      </c>
      <c r="L63" s="170">
        <f>+'Producción Laminados 2017'!L63*1.11</f>
        <v>38.85</v>
      </c>
      <c r="M63" s="170">
        <f>+'Producción Laminados 2017'!M63*1.11</f>
        <v>37.74</v>
      </c>
      <c r="N63" s="170">
        <f>+'Producción Laminados 2017'!N63*1.11</f>
        <v>39.96</v>
      </c>
      <c r="O63" s="170">
        <f>+'Producción Laminados 2017'!O63*1.11</f>
        <v>35.520000000000003</v>
      </c>
      <c r="P63" s="34">
        <f>SUM(D63:O63)</f>
        <v>462.315</v>
      </c>
      <c r="Q63" s="229"/>
      <c r="R63" s="165"/>
      <c r="S63" s="165"/>
      <c r="T63" s="165"/>
    </row>
    <row r="64" spans="2:20" s="3" customFormat="1" ht="18" customHeight="1">
      <c r="B64" s="263"/>
      <c r="C64" s="29" t="s">
        <v>59</v>
      </c>
      <c r="D64" s="170">
        <f>+'Producción Laminados 2017'!D64*1.11</f>
        <v>4.4400000000000004</v>
      </c>
      <c r="E64" s="170">
        <f>+'Producción Laminados 2017'!E64*1.11</f>
        <v>3.33</v>
      </c>
      <c r="F64" s="170">
        <f>+'Producción Laminados 2017'!F64*1.11</f>
        <v>4.6620000000000008</v>
      </c>
      <c r="G64" s="170">
        <f>+'Producción Laminados 2017'!G64*1.11</f>
        <v>5.5500000000000007</v>
      </c>
      <c r="H64" s="170">
        <f>+'Producción Laminados 2017'!H64*1.11</f>
        <v>5.5500000000000007</v>
      </c>
      <c r="I64" s="170">
        <f>+'Producción Laminados 2017'!I64*1.11</f>
        <v>5.5500000000000007</v>
      </c>
      <c r="J64" s="170">
        <f>+'Producción Laminados 2017'!J64*1.11</f>
        <v>5.7720000000000011</v>
      </c>
      <c r="K64" s="170">
        <f>+'Producción Laminados 2017'!K64*1.11</f>
        <v>5.5500000000000007</v>
      </c>
      <c r="L64" s="170">
        <f>+'Producción Laminados 2017'!L64*1.11</f>
        <v>4.4400000000000004</v>
      </c>
      <c r="M64" s="170">
        <f>+'Producción Laminados 2017'!M64*1.11</f>
        <v>4.4400000000000004</v>
      </c>
      <c r="N64" s="170">
        <f>+'Producción Laminados 2017'!N64*1.11</f>
        <v>5.5500000000000007</v>
      </c>
      <c r="O64" s="170">
        <f>+'Producción Laminados 2017'!O64*1.11</f>
        <v>5.5500000000000007</v>
      </c>
      <c r="P64" s="34">
        <f>SUM(D64:O64)</f>
        <v>60.384</v>
      </c>
      <c r="Q64" s="229"/>
      <c r="R64" s="165"/>
      <c r="S64" s="165"/>
      <c r="T64" s="165"/>
    </row>
    <row r="65" spans="2:22" s="3" customFormat="1" ht="18" customHeight="1">
      <c r="B65" s="263"/>
      <c r="C65" s="29" t="s">
        <v>60</v>
      </c>
      <c r="D65" s="170">
        <f>+'Producción Laminados 2017'!D65*1.11</f>
        <v>0</v>
      </c>
      <c r="E65" s="170">
        <f>+'Producción Laminados 2017'!E65*1.11</f>
        <v>0</v>
      </c>
      <c r="F65" s="170">
        <f>+'Producción Laminados 2017'!F65*1.11</f>
        <v>0</v>
      </c>
      <c r="G65" s="170">
        <f>+'Producción Laminados 2017'!G65*1.11</f>
        <v>0</v>
      </c>
      <c r="H65" s="170">
        <f>+'Producción Laminados 2017'!H65*1.11</f>
        <v>0</v>
      </c>
      <c r="I65" s="170">
        <f>+'Producción Laminados 2017'!I65*1.11</f>
        <v>0</v>
      </c>
      <c r="J65" s="170">
        <f>+'Producción Laminados 2017'!J65*1.11</f>
        <v>0</v>
      </c>
      <c r="K65" s="170">
        <f>+'Producción Laminados 2017'!K65*1.11</f>
        <v>0</v>
      </c>
      <c r="L65" s="170">
        <f>+'Producción Laminados 2017'!L65*1.11</f>
        <v>0</v>
      </c>
      <c r="M65" s="170">
        <f>+'Producción Laminados 2017'!M65*1.11</f>
        <v>0</v>
      </c>
      <c r="N65" s="170">
        <f>+'Producción Laminados 2017'!N65*1.11</f>
        <v>0</v>
      </c>
      <c r="O65" s="170">
        <f>+'Producción Laminados 2017'!O65*1.11</f>
        <v>0</v>
      </c>
      <c r="P65" s="34">
        <f>SUM(D65:O65)</f>
        <v>0</v>
      </c>
      <c r="Q65" s="229"/>
      <c r="R65" s="165"/>
      <c r="S65" s="165"/>
      <c r="T65" s="165"/>
    </row>
    <row r="66" spans="2:22" s="3" customFormat="1" ht="18" customHeight="1">
      <c r="B66" s="263"/>
      <c r="C66" s="29" t="s">
        <v>139</v>
      </c>
      <c r="D66" s="170">
        <f>+D63+D64+D65</f>
        <v>41.07</v>
      </c>
      <c r="E66" s="170">
        <f>+E63+E64+E65</f>
        <v>42.18</v>
      </c>
      <c r="F66" s="170">
        <f>+F63+F64+F65</f>
        <v>44.622</v>
      </c>
      <c r="G66" s="170">
        <f>+G63+G64+G65</f>
        <v>42.734999999999999</v>
      </c>
      <c r="H66" s="170">
        <f t="shared" ref="H66:O66" si="26">+H63+H64+H65</f>
        <v>41.070000000000007</v>
      </c>
      <c r="I66" s="170">
        <f t="shared" ref="I66" si="27">+I63+I64+I65</f>
        <v>44.400000000000006</v>
      </c>
      <c r="J66" s="170">
        <f t="shared" si="26"/>
        <v>47.952000000000005</v>
      </c>
      <c r="K66" s="170">
        <f t="shared" si="26"/>
        <v>46.620000000000005</v>
      </c>
      <c r="L66" s="170">
        <f t="shared" si="26"/>
        <v>43.29</v>
      </c>
      <c r="M66" s="170">
        <f t="shared" ref="M66" si="28">+M63+M64+M65</f>
        <v>42.18</v>
      </c>
      <c r="N66" s="170">
        <f t="shared" si="26"/>
        <v>45.510000000000005</v>
      </c>
      <c r="O66" s="170">
        <f t="shared" si="26"/>
        <v>41.070000000000007</v>
      </c>
      <c r="P66" s="34">
        <f>+P63+P64+P65</f>
        <v>522.69899999999996</v>
      </c>
      <c r="Q66" s="229"/>
      <c r="R66" s="165"/>
      <c r="S66" s="165"/>
      <c r="T66" s="165"/>
    </row>
    <row r="67" spans="2:22" s="3" customFormat="1" ht="18" customHeight="1" thickBot="1">
      <c r="B67" s="264"/>
      <c r="C67" s="32" t="s">
        <v>179</v>
      </c>
      <c r="D67" s="172">
        <f>+(D66-'Producción Laminados 2017'!D66)/'Producción Laminados 2017'!D66</f>
        <v>0.11000000000000001</v>
      </c>
      <c r="E67" s="172">
        <f>+(E66-'Producción Laminados 2017'!E66)/'Producción Laminados 2017'!E66</f>
        <v>0.10999999999999999</v>
      </c>
      <c r="F67" s="172">
        <f>+(F66-'Producción Laminados 2017'!F66)/'Producción Laminados 2017'!F66</f>
        <v>0.10999999999999992</v>
      </c>
      <c r="G67" s="172">
        <f>+(G66-'Producción Laminados 2017'!G66)/'Producción Laminados 2017'!G66</f>
        <v>0.10999999999999999</v>
      </c>
      <c r="H67" s="172">
        <f>+(H66-'Producción Laminados 2017'!H66)/'Producción Laminados 2017'!H66</f>
        <v>0.11000000000000019</v>
      </c>
      <c r="I67" s="172">
        <f>+(I66-'Producción Laminados 2017'!I66)/'Producción Laminados 2017'!I66</f>
        <v>0.11000000000000014</v>
      </c>
      <c r="J67" s="172">
        <f>+(J66-'Producción Laminados 2017'!J66)/'Producción Laminados 2017'!J66</f>
        <v>0.11000000000000006</v>
      </c>
      <c r="K67" s="172">
        <f>+(K66-'Producción Laminados 2017'!K66)/'Producción Laminados 2017'!K66</f>
        <v>0.11000000000000011</v>
      </c>
      <c r="L67" s="172">
        <f>+(L66-'Producción Laminados 2017'!L66)/'Producción Laminados 2017'!L66</f>
        <v>0.10999999999999997</v>
      </c>
      <c r="M67" s="172">
        <f>+(M66-'Producción Laminados 2017'!M66)/'Producción Laminados 2017'!M66</f>
        <v>0.10999999999999999</v>
      </c>
      <c r="N67" s="172">
        <f>+(N66-'Producción Laminados 2017'!N66)/'Producción Laminados 2017'!N66</f>
        <v>0.11000000000000013</v>
      </c>
      <c r="O67" s="172">
        <f>+(O66-'Producción Laminados 2017'!O66)/'Producción Laminados 2017'!O66</f>
        <v>0.11000000000000019</v>
      </c>
      <c r="P67" s="139">
        <f ca="1">(P66-SUM('Producción Laminados 2017'!$D66:OFFSET('Producción Laminados 2017'!$D66,0,Índice!$Y$4)))/SUM('Producción Laminados 2017'!$D66:OFFSET('Producción Laminados 2017'!$D66,0,Índice!$Y$4))</f>
        <v>0.10999999999999996</v>
      </c>
      <c r="Q67" s="229"/>
      <c r="R67" s="165"/>
      <c r="S67" s="165"/>
      <c r="T67" s="165"/>
    </row>
    <row r="68" spans="2:22" s="3" customFormat="1" ht="18" customHeight="1" thickTop="1">
      <c r="B68" s="262" t="s">
        <v>7</v>
      </c>
      <c r="C68" s="31" t="s">
        <v>65</v>
      </c>
      <c r="D68" s="170">
        <f>+'Producción Laminados 2017'!D68*1.03</f>
        <v>4.12</v>
      </c>
      <c r="E68" s="170">
        <f>+'Producción Laminados 2017'!E68*1.03</f>
        <v>5.15</v>
      </c>
      <c r="F68" s="170">
        <f>+'Producción Laminados 2017'!F68*1.03</f>
        <v>3.2960000000000003</v>
      </c>
      <c r="G68" s="170">
        <f>+'Producción Laminados 2017'!G68*1.03</f>
        <v>4.3260000000000005</v>
      </c>
      <c r="H68" s="170">
        <f>+'Producción Laminados 2017'!H68*1.03</f>
        <v>4.5320000000000009</v>
      </c>
      <c r="I68" s="170">
        <f>+'Producción Laminados 2017'!I68*1.03</f>
        <v>5.665</v>
      </c>
      <c r="J68" s="170">
        <f>+'Producción Laminados 2017'!J68*1.03</f>
        <v>7.21</v>
      </c>
      <c r="K68" s="170">
        <f>+'Producción Laminados 2017'!K68*1.03</f>
        <v>8.24</v>
      </c>
      <c r="L68" s="170">
        <f>+'Producción Laminados 2017'!L68*1.03</f>
        <v>6.18</v>
      </c>
      <c r="M68" s="170">
        <f>+'Producción Laminados 2017'!M68*1.03</f>
        <v>7.21</v>
      </c>
      <c r="N68" s="170">
        <f>+'Producción Laminados 2017'!N68*1.03</f>
        <v>6.18</v>
      </c>
      <c r="O68" s="170">
        <f>+'Producción Laminados 2017'!O68*1.03</f>
        <v>6.18</v>
      </c>
      <c r="P68" s="34">
        <f>SUM(D68:O68)</f>
        <v>68.289000000000001</v>
      </c>
      <c r="Q68" s="229"/>
      <c r="R68" s="165"/>
      <c r="S68" s="165"/>
      <c r="T68" s="165"/>
    </row>
    <row r="69" spans="2:22" s="3" customFormat="1" ht="18" customHeight="1">
      <c r="B69" s="263"/>
      <c r="C69" s="29" t="s">
        <v>59</v>
      </c>
      <c r="D69" s="170">
        <f>+'Producción Laminados 2017'!D69*1.03</f>
        <v>0</v>
      </c>
      <c r="E69" s="170">
        <f>+'Producción Laminados 2017'!E69*1.03</f>
        <v>0</v>
      </c>
      <c r="F69" s="170">
        <f>+'Producción Laminados 2017'!F69*1.03</f>
        <v>0</v>
      </c>
      <c r="G69" s="170">
        <f>+'Producción Laminados 2017'!G69*1.03</f>
        <v>0</v>
      </c>
      <c r="H69" s="170">
        <f>+'Producción Laminados 2017'!H69*1.03</f>
        <v>0</v>
      </c>
      <c r="I69" s="170">
        <f>+'Producción Laminados 2017'!I69*1.03</f>
        <v>0</v>
      </c>
      <c r="J69" s="170">
        <f>+'Producción Laminados 2017'!J69*1.03</f>
        <v>0</v>
      </c>
      <c r="K69" s="170">
        <f>+'Producción Laminados 2017'!K69*1.03</f>
        <v>0</v>
      </c>
      <c r="L69" s="170">
        <f>+'Producción Laminados 2017'!L69*1.03</f>
        <v>0</v>
      </c>
      <c r="M69" s="170">
        <f>+'Producción Laminados 2017'!M69*1.03</f>
        <v>0</v>
      </c>
      <c r="N69" s="170">
        <f>+'Producción Laminados 2017'!N69*1.03</f>
        <v>0</v>
      </c>
      <c r="O69" s="170">
        <f>+'Producción Laminados 2017'!O69*1.03</f>
        <v>0</v>
      </c>
      <c r="P69" s="34">
        <f>SUM(D69:O69)</f>
        <v>0</v>
      </c>
      <c r="Q69" s="229"/>
      <c r="R69" s="165"/>
      <c r="S69" s="165"/>
      <c r="T69" s="165"/>
    </row>
    <row r="70" spans="2:22" s="3" customFormat="1" ht="18" customHeight="1">
      <c r="B70" s="263"/>
      <c r="C70" s="29" t="s">
        <v>60</v>
      </c>
      <c r="D70" s="170">
        <f>+'Producción Laminados 2017'!D70*1.03</f>
        <v>0</v>
      </c>
      <c r="E70" s="170">
        <f>+'Producción Laminados 2017'!E70*1.03</f>
        <v>0</v>
      </c>
      <c r="F70" s="170">
        <f>+'Producción Laminados 2017'!F70*1.03</f>
        <v>0</v>
      </c>
      <c r="G70" s="170">
        <f>+'Producción Laminados 2017'!G70*1.03</f>
        <v>0</v>
      </c>
      <c r="H70" s="170">
        <f>+'Producción Laminados 2017'!H70*1.03</f>
        <v>0</v>
      </c>
      <c r="I70" s="170">
        <f>+'Producción Laminados 2017'!I70*1.03</f>
        <v>0</v>
      </c>
      <c r="J70" s="170">
        <f>+'Producción Laminados 2017'!J70*1.03</f>
        <v>0</v>
      </c>
      <c r="K70" s="170">
        <f>+'Producción Laminados 2017'!K70*1.03</f>
        <v>0</v>
      </c>
      <c r="L70" s="170">
        <f>+'Producción Laminados 2017'!L70*1.03</f>
        <v>0</v>
      </c>
      <c r="M70" s="170">
        <f>+'Producción Laminados 2017'!M70*1.03</f>
        <v>0</v>
      </c>
      <c r="N70" s="170">
        <f>+'Producción Laminados 2017'!N70*1.03</f>
        <v>0</v>
      </c>
      <c r="O70" s="170">
        <f>+'Producción Laminados 2017'!O70*1.03</f>
        <v>0</v>
      </c>
      <c r="P70" s="34">
        <f>SUM(D70:O70)</f>
        <v>0</v>
      </c>
      <c r="Q70" s="229"/>
      <c r="R70" s="165"/>
      <c r="S70" s="165"/>
      <c r="T70" s="165"/>
    </row>
    <row r="71" spans="2:22" s="3" customFormat="1" ht="18" customHeight="1">
      <c r="B71" s="263"/>
      <c r="C71" s="29" t="s">
        <v>139</v>
      </c>
      <c r="D71" s="170">
        <f>+D68+D69+D70</f>
        <v>4.12</v>
      </c>
      <c r="E71" s="170">
        <f>+E68+E69+E70</f>
        <v>5.15</v>
      </c>
      <c r="F71" s="170">
        <f>+F68+F69+F70</f>
        <v>3.2960000000000003</v>
      </c>
      <c r="G71" s="170">
        <f>+G68+G69+G70</f>
        <v>4.3260000000000005</v>
      </c>
      <c r="H71" s="170">
        <f t="shared" ref="H71:O71" si="29">+H68+H69+H70</f>
        <v>4.5320000000000009</v>
      </c>
      <c r="I71" s="170">
        <f t="shared" ref="I71:J71" si="30">+I68+I69+I70</f>
        <v>5.665</v>
      </c>
      <c r="J71" s="170">
        <f t="shared" si="30"/>
        <v>7.21</v>
      </c>
      <c r="K71" s="170">
        <f t="shared" si="29"/>
        <v>8.24</v>
      </c>
      <c r="L71" s="170">
        <f t="shared" si="29"/>
        <v>6.18</v>
      </c>
      <c r="M71" s="170">
        <f t="shared" ref="M71" si="31">+M68+M69+M70</f>
        <v>7.21</v>
      </c>
      <c r="N71" s="170">
        <f t="shared" si="29"/>
        <v>6.18</v>
      </c>
      <c r="O71" s="170">
        <f t="shared" si="29"/>
        <v>6.18</v>
      </c>
      <c r="P71" s="34">
        <f>+P68+P69+P70</f>
        <v>68.289000000000001</v>
      </c>
      <c r="Q71" s="229"/>
      <c r="R71" s="165"/>
      <c r="S71" s="165"/>
      <c r="T71" s="165"/>
    </row>
    <row r="72" spans="2:22" s="3" customFormat="1" ht="18" customHeight="1" thickBot="1">
      <c r="B72" s="264"/>
      <c r="C72" s="32" t="s">
        <v>179</v>
      </c>
      <c r="D72" s="172">
        <f>+(D71-'Producción Laminados 2017'!D71)/'Producción Laminados 2017'!D71</f>
        <v>3.0000000000000027E-2</v>
      </c>
      <c r="E72" s="172">
        <f>+(E71-'Producción Laminados 2017'!E71)/'Producción Laminados 2017'!E71</f>
        <v>3.0000000000000072E-2</v>
      </c>
      <c r="F72" s="172">
        <f>+(F71-'Producción Laminados 2017'!F71)/'Producción Laminados 2017'!F71</f>
        <v>3.0000000000000027E-2</v>
      </c>
      <c r="G72" s="172">
        <f>+(G71-'Producción Laminados 2017'!G71)/'Producción Laminados 2017'!G71</f>
        <v>3.0000000000000079E-2</v>
      </c>
      <c r="H72" s="172">
        <f>+(H71-'Producción Laminados 2017'!H71)/'Producción Laminados 2017'!H71</f>
        <v>3.0000000000000124E-2</v>
      </c>
      <c r="I72" s="172">
        <f>+(I71-'Producción Laminados 2017'!I71)/'Producción Laminados 2017'!I71</f>
        <v>3.0000000000000006E-2</v>
      </c>
      <c r="J72" s="172">
        <f>+(J71-'Producción Laminados 2017'!J71)/'Producción Laminados 2017'!J71</f>
        <v>2.9999999999999995E-2</v>
      </c>
      <c r="K72" s="172">
        <f>+(K71-'Producción Laminados 2017'!K71)/'Producción Laminados 2017'!K71</f>
        <v>3.0000000000000027E-2</v>
      </c>
      <c r="L72" s="172">
        <f>+(L71-'Producción Laminados 2017'!L71)/'Producción Laminados 2017'!L71</f>
        <v>2.9999999999999954E-2</v>
      </c>
      <c r="M72" s="172">
        <f>+(M71-'Producción Laminados 2017'!M71)/'Producción Laminados 2017'!M71</f>
        <v>2.9999999999999995E-2</v>
      </c>
      <c r="N72" s="172">
        <f>+(N71-'Producción Laminados 2017'!N71)/'Producción Laminados 2017'!N71</f>
        <v>2.9999999999999954E-2</v>
      </c>
      <c r="O72" s="172">
        <f>+(O71-'Producción Laminados 2017'!O71)/'Producción Laminados 2017'!O71</f>
        <v>2.9999999999999954E-2</v>
      </c>
      <c r="P72" s="139">
        <f ca="1">(P71-SUM('Producción Laminados 2017'!$D71:OFFSET('Producción Laminados 2017'!$D71,0,Índice!$Y$4)))/SUM('Producción Laminados 2017'!$D71:OFFSET('Producción Laminados 2017'!$D71,0,Índice!$Y$4))</f>
        <v>3.0000000000000065E-2</v>
      </c>
      <c r="Q72" s="229"/>
      <c r="R72" s="165"/>
      <c r="S72" s="165"/>
      <c r="T72" s="165"/>
    </row>
    <row r="73" spans="2:22" s="3" customFormat="1" ht="18" customHeight="1" thickTop="1">
      <c r="B73" s="262" t="s">
        <v>3</v>
      </c>
      <c r="C73" s="31" t="s">
        <v>65</v>
      </c>
      <c r="D73" s="170">
        <v>10</v>
      </c>
      <c r="E73" s="170">
        <v>15</v>
      </c>
      <c r="F73" s="170">
        <v>21</v>
      </c>
      <c r="G73" s="170">
        <v>18</v>
      </c>
      <c r="H73" s="170">
        <v>12</v>
      </c>
      <c r="I73" s="170">
        <v>10</v>
      </c>
      <c r="J73" s="170">
        <v>6</v>
      </c>
      <c r="K73" s="170">
        <v>9</v>
      </c>
      <c r="L73" s="170">
        <v>10</v>
      </c>
      <c r="M73" s="170">
        <v>6</v>
      </c>
      <c r="N73" s="170">
        <v>6</v>
      </c>
      <c r="O73" s="170">
        <v>5</v>
      </c>
      <c r="P73" s="34">
        <f>SUM(D73:O73)</f>
        <v>128</v>
      </c>
      <c r="Q73" s="229"/>
      <c r="R73" s="165"/>
      <c r="S73" s="165"/>
      <c r="T73" s="165"/>
    </row>
    <row r="74" spans="2:22" s="3" customFormat="1" ht="18" customHeight="1">
      <c r="B74" s="263"/>
      <c r="C74" s="29" t="s">
        <v>59</v>
      </c>
      <c r="D74" s="170">
        <v>0</v>
      </c>
      <c r="E74" s="170">
        <v>0</v>
      </c>
      <c r="F74" s="170">
        <v>0</v>
      </c>
      <c r="G74" s="170">
        <v>0</v>
      </c>
      <c r="H74" s="170">
        <v>0</v>
      </c>
      <c r="I74" s="170">
        <v>1.4</v>
      </c>
      <c r="J74" s="170">
        <v>2</v>
      </c>
      <c r="K74" s="170">
        <v>0</v>
      </c>
      <c r="L74" s="170">
        <v>0</v>
      </c>
      <c r="M74" s="170">
        <v>0</v>
      </c>
      <c r="N74" s="170">
        <v>0</v>
      </c>
      <c r="O74" s="170">
        <v>0</v>
      </c>
      <c r="P74" s="34">
        <f>SUM(D74:O74)</f>
        <v>3.4</v>
      </c>
      <c r="Q74" s="229"/>
      <c r="R74" s="165"/>
      <c r="S74" s="165"/>
      <c r="T74" s="165"/>
    </row>
    <row r="75" spans="2:22" s="3" customFormat="1" ht="18" customHeight="1">
      <c r="B75" s="263"/>
      <c r="C75" s="29" t="s">
        <v>60</v>
      </c>
      <c r="D75" s="170">
        <f>+'Producción Laminados 2017'!D75*1</f>
        <v>0</v>
      </c>
      <c r="E75" s="170">
        <f>+'Producción Laminados 2017'!E75*1</f>
        <v>0</v>
      </c>
      <c r="F75" s="170">
        <f>+'Producción Laminados 2017'!F75*1</f>
        <v>0</v>
      </c>
      <c r="G75" s="170">
        <f>+'Producción Laminados 2017'!G75*1</f>
        <v>0</v>
      </c>
      <c r="H75" s="170">
        <f>+'Producción Laminados 2017'!H75*1</f>
        <v>0</v>
      </c>
      <c r="I75" s="34">
        <v>0</v>
      </c>
      <c r="J75" s="34">
        <v>0</v>
      </c>
      <c r="K75" s="170">
        <v>0</v>
      </c>
      <c r="L75" s="170">
        <v>0</v>
      </c>
      <c r="M75" s="170">
        <v>0</v>
      </c>
      <c r="N75" s="170">
        <v>0</v>
      </c>
      <c r="O75" s="170">
        <v>0</v>
      </c>
      <c r="P75" s="34">
        <f>SUM(D75:O75)</f>
        <v>0</v>
      </c>
      <c r="Q75" s="229"/>
      <c r="R75" s="165"/>
      <c r="S75" s="165"/>
      <c r="T75" s="165"/>
    </row>
    <row r="76" spans="2:22" s="3" customFormat="1" ht="18" customHeight="1">
      <c r="B76" s="263"/>
      <c r="C76" s="29" t="s">
        <v>139</v>
      </c>
      <c r="D76" s="170">
        <f>+D73+D74+D75</f>
        <v>10</v>
      </c>
      <c r="E76" s="170">
        <f>+E73+E74+E75</f>
        <v>15</v>
      </c>
      <c r="F76" s="170">
        <f>+F73+F74+F75</f>
        <v>21</v>
      </c>
      <c r="G76" s="170">
        <f>+G73+G74+G75</f>
        <v>18</v>
      </c>
      <c r="H76" s="170">
        <f t="shared" ref="H76:O76" si="32">+H73+H74+H75</f>
        <v>12</v>
      </c>
      <c r="I76" s="170">
        <f t="shared" si="32"/>
        <v>11.4</v>
      </c>
      <c r="J76" s="170">
        <f t="shared" si="32"/>
        <v>8</v>
      </c>
      <c r="K76" s="170">
        <f t="shared" si="32"/>
        <v>9</v>
      </c>
      <c r="L76" s="170">
        <f t="shared" si="32"/>
        <v>10</v>
      </c>
      <c r="M76" s="170">
        <f t="shared" ref="M76" si="33">+M73+M74+M75</f>
        <v>6</v>
      </c>
      <c r="N76" s="170">
        <f t="shared" si="32"/>
        <v>6</v>
      </c>
      <c r="O76" s="170">
        <f t="shared" si="32"/>
        <v>5</v>
      </c>
      <c r="P76" s="34">
        <f>+P73+P74+P75</f>
        <v>131.4</v>
      </c>
      <c r="Q76" s="229"/>
      <c r="R76" s="165"/>
      <c r="S76" s="165"/>
      <c r="T76" s="165"/>
    </row>
    <row r="77" spans="2:22" s="3" customFormat="1" ht="18" customHeight="1" thickBot="1">
      <c r="B77" s="264"/>
      <c r="C77" s="32" t="s">
        <v>179</v>
      </c>
      <c r="D77" s="172">
        <f>+(D76-'Producción Laminados 2017'!D76)/'Producción Laminados 2017'!D76</f>
        <v>-0.78637043366801962</v>
      </c>
      <c r="E77" s="172">
        <f>+(E76-'Producción Laminados 2017'!E76)/'Producción Laminados 2017'!E76</f>
        <v>-0.67993870527482136</v>
      </c>
      <c r="F77" s="172">
        <f>+(F76-'Producción Laminados 2017'!F76)/'Producción Laminados 2017'!F76</f>
        <v>-0.52007612963795002</v>
      </c>
      <c r="G77" s="172">
        <f>+(G76-'Producción Laminados 2017'!G76)/'Producción Laminados 2017'!G76</f>
        <v>-0.51476428070961844</v>
      </c>
      <c r="H77" s="172">
        <f>+(H76-'Producción Laminados 2017'!H76)/'Producción Laminados 2017'!H76</f>
        <v>-0.7240571463852693</v>
      </c>
      <c r="I77" s="172">
        <f>+(I76-'Producción Laminados 2017'!I76)/'Producción Laminados 2017'!I76</f>
        <v>-0.70233028387246366</v>
      </c>
      <c r="J77" s="172">
        <f>+(J76-'Producción Laminados 2017'!J76)/'Producción Laminados 2017'!J76</f>
        <v>0.29882949485923277</v>
      </c>
      <c r="K77" s="172">
        <f>+(K76-'Producción Laminados 2017'!K76)/'Producción Laminados 2017'!K76</f>
        <v>-0.54132882136796134</v>
      </c>
      <c r="L77" s="172">
        <f>+(L76-'Producción Laminados 2017'!L76)/'Producción Laminados 2017'!L76</f>
        <v>-0.7685345925051501</v>
      </c>
      <c r="M77" s="172">
        <f>+(M76-'Producción Laminados 2017'!M76)/'Producción Laminados 2017'!M76</f>
        <v>-0.49162016332719011</v>
      </c>
      <c r="N77" s="172">
        <f>+(N76-'Producción Laminados 2017'!N76)/'Producción Laminados 2017'!N76</f>
        <v>-0.85607170507653096</v>
      </c>
      <c r="O77" s="172">
        <f>+(O76-'Producción Laminados 2017'!O76)/'Producción Laminados 2017'!O76</f>
        <v>-0.80042743653352988</v>
      </c>
      <c r="P77" s="139">
        <f ca="1">(P76-SUM('Producción Laminados 2017'!$D76:OFFSET('Producción Laminados 2017'!$D76,0,Índice!$Y$4)))/SUM('Producción Laminados 2017'!$D76:OFFSET('Producción Laminados 2017'!$D76,0,Índice!$Y$4))</f>
        <v>-0.67462404919866614</v>
      </c>
      <c r="Q77" s="229"/>
      <c r="R77" s="165"/>
      <c r="S77" s="165"/>
      <c r="T77" s="165"/>
    </row>
    <row r="78" spans="2:22" ht="18" customHeight="1" thickTop="1">
      <c r="B78" s="262" t="s">
        <v>61</v>
      </c>
      <c r="C78" s="31" t="s">
        <v>65</v>
      </c>
      <c r="D78" s="34">
        <f t="shared" ref="D78:O81" si="34">+D3+D8+D13+D18+D23+D28+D33+D38+D43+D48+D53+D58+D63+D68+D73</f>
        <v>2088.225666160999</v>
      </c>
      <c r="E78" s="34">
        <f t="shared" si="34"/>
        <v>2112.0265241730003</v>
      </c>
      <c r="F78" s="34">
        <f t="shared" si="34"/>
        <v>2350.3130525130005</v>
      </c>
      <c r="G78" s="34">
        <f t="shared" si="34"/>
        <v>2213.3501825579997</v>
      </c>
      <c r="H78" s="34">
        <f t="shared" si="34"/>
        <v>2180.6651951980007</v>
      </c>
      <c r="I78" s="34">
        <f>+I3+I8+I13+I18+I23+I28+I33+I38+I43+I48+I53+I58+I63+I68+I73</f>
        <v>2210.9991892370003</v>
      </c>
      <c r="J78" s="34">
        <f t="shared" si="34"/>
        <v>2248.2558359999994</v>
      </c>
      <c r="K78" s="34">
        <f t="shared" si="34"/>
        <v>2155.0231279999998</v>
      </c>
      <c r="L78" s="34">
        <f t="shared" si="34"/>
        <v>2153.260480999998</v>
      </c>
      <c r="M78" s="34">
        <f t="shared" si="34"/>
        <v>2215.3403619999999</v>
      </c>
      <c r="N78" s="34">
        <f t="shared" si="34"/>
        <v>2114.2815750000004</v>
      </c>
      <c r="O78" s="34">
        <f t="shared" si="34"/>
        <v>1863.5186670000012</v>
      </c>
      <c r="P78" s="34">
        <f>+P3+P8+P13+P18+P23+P28+P33+P38+P43+P48+P53+P58+P63+P68+P73</f>
        <v>25905.25985884</v>
      </c>
      <c r="Q78" s="229"/>
      <c r="R78" s="241">
        <f>P78/P81</f>
        <v>0.48175651458211322</v>
      </c>
      <c r="S78" s="230"/>
      <c r="T78" s="244">
        <f>N81</f>
        <v>4338.9545750000007</v>
      </c>
      <c r="U78" s="245">
        <f>O81</f>
        <v>3993.3096670000009</v>
      </c>
      <c r="V78" s="246"/>
    </row>
    <row r="79" spans="2:22" ht="18" customHeight="1">
      <c r="B79" s="263"/>
      <c r="C79" s="29" t="s">
        <v>59</v>
      </c>
      <c r="D79" s="34">
        <f t="shared" si="34"/>
        <v>2215.5136585730002</v>
      </c>
      <c r="E79" s="34">
        <f t="shared" si="34"/>
        <v>2101.5094989069999</v>
      </c>
      <c r="F79" s="34">
        <f t="shared" si="34"/>
        <v>2381.8064632099999</v>
      </c>
      <c r="G79" s="34">
        <f>+G4+G9+G14+G19+G24+G29+G34+G39+G44+G49+G54+G59+G64+G69+G74</f>
        <v>2306.9472535580007</v>
      </c>
      <c r="H79" s="34">
        <f t="shared" si="34"/>
        <v>2285.9477574119996</v>
      </c>
      <c r="I79" s="34">
        <f t="shared" si="34"/>
        <v>2152.4285985040001</v>
      </c>
      <c r="J79" s="34">
        <f t="shared" si="34"/>
        <v>2122.9318494899999</v>
      </c>
      <c r="K79" s="34">
        <f t="shared" si="34"/>
        <v>2064.7530000000002</v>
      </c>
      <c r="L79" s="34">
        <f t="shared" si="34"/>
        <v>2214.1770000000001</v>
      </c>
      <c r="M79" s="34">
        <f t="shared" si="34"/>
        <v>2238.076</v>
      </c>
      <c r="N79" s="34">
        <f t="shared" si="34"/>
        <v>2094.5360000000001</v>
      </c>
      <c r="O79" s="34">
        <f t="shared" si="34"/>
        <v>2025.3700000000001</v>
      </c>
      <c r="P79" s="34">
        <f>+P4+P9+P14+P19+P24+P29+P34+P39+P44+P49+P54+P59+P64+P69+P74</f>
        <v>26203.997079654</v>
      </c>
      <c r="Q79" s="229"/>
      <c r="R79" s="241">
        <f>P79/P81</f>
        <v>0.48731208912795931</v>
      </c>
      <c r="S79" s="230"/>
      <c r="T79" s="250">
        <v>1</v>
      </c>
      <c r="U79" s="246">
        <f>U78/T78</f>
        <v>0.92033912731155987</v>
      </c>
      <c r="V79" s="251">
        <f>T79-U79</f>
        <v>7.9660872688440132E-2</v>
      </c>
    </row>
    <row r="80" spans="2:22" ht="18" customHeight="1">
      <c r="B80" s="263"/>
      <c r="C80" s="29" t="s">
        <v>60</v>
      </c>
      <c r="D80" s="34">
        <f t="shared" si="34"/>
        <v>120.62899999999999</v>
      </c>
      <c r="E80" s="34">
        <f t="shared" si="34"/>
        <v>116.90100000000001</v>
      </c>
      <c r="F80" s="34">
        <f t="shared" si="34"/>
        <v>157.11200000000002</v>
      </c>
      <c r="G80" s="34">
        <f>+G5+G10+G15+G20+G25+G30+G35+G40+G45+G50+G55+G60+G65+G70+G75</f>
        <v>161.49200000000002</v>
      </c>
      <c r="H80" s="34">
        <f>+H5+H10+H15+H20+H25+H30+H35+H40+H45+H50+H55+H60+H65+H70+H75</f>
        <v>133.21100000000001</v>
      </c>
      <c r="I80" s="34">
        <f t="shared" si="34"/>
        <v>141.08000000000001</v>
      </c>
      <c r="J80" s="34">
        <f t="shared" si="34"/>
        <v>148.488</v>
      </c>
      <c r="K80" s="34">
        <f t="shared" si="34"/>
        <v>159.76599999999999</v>
      </c>
      <c r="L80" s="34">
        <f t="shared" si="34"/>
        <v>142.50200000000001</v>
      </c>
      <c r="M80" s="34">
        <f t="shared" si="34"/>
        <v>147.52000000000001</v>
      </c>
      <c r="N80" s="34">
        <f t="shared" si="34"/>
        <v>130.137</v>
      </c>
      <c r="O80" s="34">
        <f t="shared" si="34"/>
        <v>104.42099999999999</v>
      </c>
      <c r="P80" s="34">
        <f>+P5+P10+P15+P20+P25+P30+P35+P40+P45+P50+P55+P60+P65+P70+P75</f>
        <v>1663.259</v>
      </c>
      <c r="Q80" s="229"/>
      <c r="R80" s="241">
        <f>P80/P81</f>
        <v>3.0931396289927488E-2</v>
      </c>
      <c r="S80" s="230"/>
      <c r="T80" s="229"/>
    </row>
    <row r="81" spans="2:20" ht="18" customHeight="1">
      <c r="B81" s="263"/>
      <c r="C81" s="29" t="s">
        <v>139</v>
      </c>
      <c r="D81" s="34">
        <f t="shared" si="34"/>
        <v>4424.3683247339986</v>
      </c>
      <c r="E81" s="34">
        <f t="shared" si="34"/>
        <v>4330.4370230799996</v>
      </c>
      <c r="F81" s="34">
        <f>+F6+F11+F16+F21+F26+F31+F36+F41+F46+F51+F56+F61+F66+F71+F76</f>
        <v>4889.2315157230014</v>
      </c>
      <c r="G81" s="34">
        <f>+G6+G11+G16+G21+G26+G31+G36+G41+G46+G51+G56+G61+G66+G71+G76</f>
        <v>4681.7894361160006</v>
      </c>
      <c r="H81" s="34">
        <f>+H6+H11+H16+H21+H26+H31+H36+H41+H46+H51+H56+H61+H66+H71+H76</f>
        <v>4599.8239526099987</v>
      </c>
      <c r="I81" s="34">
        <f t="shared" ref="I81:O81" si="35">+I78+I79+I80</f>
        <v>4504.5077877410004</v>
      </c>
      <c r="J81" s="34">
        <f t="shared" si="35"/>
        <v>4519.6756854899995</v>
      </c>
      <c r="K81" s="34">
        <f t="shared" si="35"/>
        <v>4379.5421279999991</v>
      </c>
      <c r="L81" s="34">
        <f t="shared" si="35"/>
        <v>4509.9394809999985</v>
      </c>
      <c r="M81" s="34">
        <f t="shared" si="35"/>
        <v>4600.9363620000004</v>
      </c>
      <c r="N81" s="34">
        <f t="shared" si="35"/>
        <v>4338.9545750000007</v>
      </c>
      <c r="O81" s="34">
        <f t="shared" si="35"/>
        <v>3993.3096670000009</v>
      </c>
      <c r="P81" s="34">
        <f>+P6+P11+P16+P21+P26+P31+P36+P41+P46+P51+P56+P61+P66+P71+P76</f>
        <v>53772.515938493998</v>
      </c>
      <c r="Q81" s="231"/>
      <c r="R81" s="240"/>
      <c r="S81" s="154"/>
      <c r="T81" s="154"/>
    </row>
    <row r="82" spans="2:20" ht="18" customHeight="1" thickBot="1">
      <c r="B82" s="264"/>
      <c r="C82" s="32" t="s">
        <v>179</v>
      </c>
      <c r="D82" s="35">
        <f>+(D81-'Producción Laminados 2017'!D81)/'Producción Laminados 2017'!D81</f>
        <v>3.661002266334399E-2</v>
      </c>
      <c r="E82" s="35">
        <f>+(E81-'Producción Laminados 2017'!E81)/'Producción Laminados 2017'!E81</f>
        <v>6.4859131682297122E-2</v>
      </c>
      <c r="F82" s="35">
        <f>+(F81-'Producción Laminados 2017'!F81)/'Producción Laminados 2017'!F81</f>
        <v>8.2195486251168098E-2</v>
      </c>
      <c r="G82" s="35">
        <f>+(G81-'Producción Laminados 2017'!G81)/'Producción Laminados 2017'!G81</f>
        <v>5.7101723250462054E-2</v>
      </c>
      <c r="H82" s="35">
        <f>+(H81-'Producción Laminados 2017'!H81)/'Producción Laminados 2017'!H81</f>
        <v>3.2455878027032842E-2</v>
      </c>
      <c r="I82" s="35">
        <f>+(I81-'Producción Laminados 2017'!I81)/'Producción Laminados 2017'!I81</f>
        <v>2.6340023373665644E-2</v>
      </c>
      <c r="J82" s="35">
        <f>+(J81-'Producción Laminados 2017'!J81)/'Producción Laminados 2017'!J81</f>
        <v>1.9251125188163926E-2</v>
      </c>
      <c r="K82" s="35">
        <f>+(K81-'Producción Laminados 2017'!K81)/'Producción Laminados 2017'!K81</f>
        <v>-3.0161405934164214E-2</v>
      </c>
      <c r="L82" s="35">
        <f>+(L81-'Producción Laminados 2017'!L81)/'Producción Laminados 2017'!L81</f>
        <v>2.7596687474669819E-2</v>
      </c>
      <c r="M82" s="35">
        <f>+(M81-'Producción Laminados 2017'!M81)/'Producción Laminados 2017'!M81</f>
        <v>1.1368836696106516E-2</v>
      </c>
      <c r="N82" s="35">
        <f>+(N81-'Producción Laminados 2017'!N81)/'Producción Laminados 2017'!N81</f>
        <v>-4.5078462258923833E-2</v>
      </c>
      <c r="O82" s="35">
        <f>+(O81-'Producción Laminados 2017'!O81)/'Producción Laminados 2017'!O81</f>
        <v>-7.7694640267296347E-2</v>
      </c>
      <c r="P82" s="139">
        <f ca="1">(P81-SUM('Producción Laminados 2017'!$D81:OFFSET('Producción Laminados 2017'!$D81,0,Índice!$Y$4)))/SUM('Producción Laminados 2017'!$D81:OFFSET('Producción Laminados 2017'!$D81,0,Índice!$Y$4))</f>
        <v>1.6738333868618335E-2</v>
      </c>
      <c r="Q82" s="6"/>
    </row>
    <row r="83" spans="2:20" s="3" customFormat="1" ht="18" customHeight="1" thickTop="1">
      <c r="B83" s="28"/>
      <c r="C83" s="2"/>
      <c r="D83" s="2"/>
      <c r="E83" s="192">
        <f>+E81+D81</f>
        <v>8754.8053478139991</v>
      </c>
      <c r="F83" s="192">
        <f>+E83+F81</f>
        <v>13644.036863537</v>
      </c>
      <c r="G83" s="36"/>
      <c r="H83" s="36"/>
      <c r="I83" s="36"/>
      <c r="J83" s="36"/>
      <c r="K83" s="36"/>
      <c r="L83" s="36"/>
      <c r="M83" s="36"/>
      <c r="N83" s="36"/>
      <c r="O83" s="36"/>
      <c r="P83" s="219"/>
      <c r="Q83" s="2"/>
    </row>
    <row r="84" spans="2:20" s="3" customFormat="1" ht="18" customHeight="1">
      <c r="B84" s="25" t="s">
        <v>19</v>
      </c>
      <c r="C84" s="25" t="s">
        <v>19</v>
      </c>
      <c r="D84" s="7"/>
      <c r="E84" s="191"/>
      <c r="F84" s="184">
        <f>+(F83-'Producción Laminados 2017'!F83)/'Producción Laminados 2017'!F83</f>
        <v>6.157212808347777E-2</v>
      </c>
      <c r="G84" s="36"/>
      <c r="H84" s="193"/>
      <c r="I84" s="36"/>
      <c r="J84" s="45"/>
      <c r="K84" s="36"/>
      <c r="L84" s="36"/>
      <c r="M84" s="36"/>
      <c r="N84" s="36"/>
      <c r="O84" s="36"/>
      <c r="P84" s="2"/>
      <c r="Q84" s="2"/>
    </row>
    <row r="85" spans="2:20" s="3" customFormat="1" ht="18" customHeight="1">
      <c r="B85" s="26" t="s">
        <v>12</v>
      </c>
      <c r="C85" s="26" t="s">
        <v>12</v>
      </c>
      <c r="D85" s="2"/>
      <c r="E85" s="2"/>
      <c r="F85" s="36"/>
      <c r="G85" s="66"/>
      <c r="H85" s="45"/>
      <c r="I85" s="36"/>
      <c r="J85" s="191"/>
      <c r="K85" s="191"/>
      <c r="L85" s="191"/>
      <c r="M85" s="191"/>
      <c r="N85" s="191"/>
      <c r="O85" s="191"/>
      <c r="P85" s="184"/>
      <c r="Q85" s="2"/>
    </row>
    <row r="86" spans="2:20" s="3" customFormat="1" ht="18" customHeight="1">
      <c r="B86" s="2" t="s">
        <v>18</v>
      </c>
      <c r="C86" s="2"/>
      <c r="D86" s="2"/>
      <c r="E86" s="2"/>
      <c r="F86" s="36"/>
      <c r="G86" s="45"/>
      <c r="H86" s="36"/>
      <c r="I86" s="66"/>
      <c r="J86" s="191"/>
      <c r="K86" s="191"/>
      <c r="L86" s="191"/>
      <c r="M86" s="191"/>
      <c r="N86" s="191"/>
      <c r="O86" s="191"/>
      <c r="P86" s="191"/>
      <c r="Q86" s="2"/>
    </row>
    <row r="87" spans="2:20" ht="18" customHeight="1">
      <c r="E87" s="36"/>
      <c r="I87" s="66"/>
      <c r="J87" s="66"/>
      <c r="K87" s="192">
        <f>+K81-J81</f>
        <v>-140.13355749000038</v>
      </c>
      <c r="M87" s="191"/>
      <c r="N87" s="191"/>
      <c r="O87" s="191"/>
      <c r="P87" s="191"/>
    </row>
    <row r="88" spans="2:20" ht="18" customHeight="1">
      <c r="E88" s="36"/>
      <c r="I88" s="45"/>
      <c r="J88" s="45"/>
      <c r="K88" s="184">
        <f>+K87/J81</f>
        <v>-3.100522410045619E-2</v>
      </c>
      <c r="M88" s="191"/>
      <c r="N88" s="191"/>
      <c r="O88" s="191"/>
      <c r="P88" s="191"/>
    </row>
    <row r="89" spans="2:20" ht="18" customHeight="1">
      <c r="J89" s="191"/>
      <c r="K89" s="191"/>
      <c r="L89" s="191"/>
      <c r="M89" s="191"/>
      <c r="N89" s="191"/>
      <c r="O89" s="191"/>
      <c r="P89" s="191"/>
    </row>
    <row r="90" spans="2:20" ht="18" customHeight="1">
      <c r="J90" s="191"/>
      <c r="K90" s="191"/>
      <c r="L90" s="191"/>
      <c r="M90" s="191"/>
      <c r="N90" s="191"/>
      <c r="O90" s="191"/>
      <c r="P90" s="191"/>
    </row>
    <row r="91" spans="2:20" ht="18" customHeight="1">
      <c r="J91" s="191"/>
      <c r="K91" s="191"/>
      <c r="L91" s="191"/>
      <c r="M91" s="191"/>
      <c r="N91" s="191"/>
      <c r="O91" s="191"/>
      <c r="P91" s="191"/>
    </row>
    <row r="92" spans="2:20" ht="18" customHeight="1">
      <c r="J92" s="191"/>
      <c r="K92" s="191"/>
      <c r="L92" s="191"/>
      <c r="M92" s="191"/>
      <c r="N92" s="191"/>
      <c r="O92" s="191"/>
      <c r="P92" s="191"/>
    </row>
    <row r="93" spans="2:20" ht="18" customHeight="1">
      <c r="J93" s="191"/>
      <c r="K93" s="191"/>
      <c r="L93" s="191"/>
      <c r="M93" s="191"/>
      <c r="N93" s="191"/>
      <c r="O93" s="191"/>
      <c r="P93" s="191"/>
    </row>
    <row r="94" spans="2:20" ht="18" customHeight="1">
      <c r="J94" s="191"/>
      <c r="K94" s="191"/>
      <c r="L94" s="191"/>
      <c r="M94" s="191"/>
      <c r="N94" s="191"/>
      <c r="O94" s="191"/>
      <c r="P94" s="191"/>
    </row>
    <row r="95" spans="2:20" ht="18" customHeight="1">
      <c r="J95" s="191"/>
      <c r="K95" s="191"/>
      <c r="L95" s="191"/>
      <c r="M95" s="191"/>
      <c r="N95" s="191"/>
      <c r="O95" s="191"/>
      <c r="P95" s="191"/>
    </row>
    <row r="96" spans="2:20" ht="18" customHeight="1">
      <c r="J96" s="191"/>
      <c r="K96" s="191"/>
      <c r="L96" s="191"/>
      <c r="M96" s="191"/>
      <c r="N96" s="191"/>
      <c r="O96" s="191"/>
      <c r="P96" s="191"/>
    </row>
    <row r="97" spans="4:16" ht="18" customHeight="1">
      <c r="J97" s="191"/>
      <c r="K97" s="191"/>
      <c r="L97" s="191"/>
      <c r="M97" s="191"/>
      <c r="N97" s="191"/>
      <c r="O97" s="191"/>
      <c r="P97" s="191"/>
    </row>
    <row r="98" spans="4:16" ht="18" customHeight="1">
      <c r="J98" s="191"/>
      <c r="K98" s="191"/>
      <c r="L98" s="191"/>
      <c r="M98" s="191"/>
      <c r="N98" s="191"/>
      <c r="O98" s="191"/>
      <c r="P98" s="191"/>
    </row>
    <row r="99" spans="4:16" ht="18" customHeight="1">
      <c r="J99" s="191"/>
      <c r="K99" s="191"/>
      <c r="L99" s="191"/>
      <c r="M99" s="191"/>
      <c r="N99" s="191"/>
      <c r="O99" s="191"/>
      <c r="P99" s="191"/>
    </row>
    <row r="100" spans="4:16" ht="18" customHeight="1">
      <c r="J100" s="191"/>
      <c r="K100" s="191"/>
      <c r="L100" s="191"/>
      <c r="M100" s="191"/>
      <c r="N100" s="191"/>
      <c r="O100" s="191"/>
      <c r="P100" s="191"/>
    </row>
    <row r="101" spans="4:16" ht="18" customHeight="1">
      <c r="J101" s="191"/>
      <c r="K101" s="191"/>
      <c r="L101" s="191"/>
      <c r="M101" s="191"/>
      <c r="N101" s="191"/>
      <c r="O101" s="191"/>
      <c r="P101" s="191"/>
    </row>
    <row r="102" spans="4:16" ht="18" customHeight="1">
      <c r="J102" s="191"/>
      <c r="K102" s="191"/>
      <c r="L102" s="191"/>
      <c r="M102" s="191"/>
      <c r="N102" s="191"/>
      <c r="O102" s="191"/>
      <c r="P102" s="191"/>
    </row>
    <row r="103" spans="4:16" ht="18" customHeight="1">
      <c r="J103" s="191"/>
      <c r="K103" s="191"/>
      <c r="L103" s="191"/>
      <c r="M103" s="191"/>
      <c r="N103" s="191"/>
      <c r="O103" s="191"/>
      <c r="P103" s="191"/>
    </row>
    <row r="104" spans="4:16" ht="18" customHeight="1">
      <c r="J104" s="191"/>
      <c r="K104" s="191"/>
      <c r="L104" s="191"/>
      <c r="M104" s="191"/>
      <c r="N104" s="191"/>
      <c r="O104" s="191"/>
      <c r="P104" s="191"/>
    </row>
    <row r="105" spans="4:16" ht="18" customHeight="1">
      <c r="J105" s="191"/>
      <c r="K105" s="191"/>
      <c r="L105" s="191"/>
      <c r="M105" s="191"/>
      <c r="N105" s="191"/>
      <c r="O105" s="191"/>
      <c r="P105" s="191"/>
    </row>
    <row r="106" spans="4:16" ht="18" customHeight="1">
      <c r="J106" s="191"/>
      <c r="K106" s="191"/>
      <c r="L106" s="191"/>
      <c r="M106" s="191"/>
      <c r="N106" s="191"/>
      <c r="O106" s="191"/>
      <c r="P106" s="191"/>
    </row>
    <row r="107" spans="4:16" ht="18" customHeight="1">
      <c r="J107" s="191"/>
      <c r="K107" s="191"/>
      <c r="L107" s="191"/>
      <c r="M107" s="191"/>
      <c r="N107" s="191"/>
      <c r="O107" s="191"/>
      <c r="P107" s="191"/>
    </row>
    <row r="108" spans="4:16" ht="18" customHeight="1">
      <c r="J108" s="191"/>
      <c r="K108" s="191"/>
      <c r="L108" s="191"/>
      <c r="M108" s="191"/>
      <c r="N108" s="191"/>
      <c r="O108" s="191"/>
      <c r="P108" s="191"/>
    </row>
    <row r="109" spans="4:16" ht="18" customHeight="1">
      <c r="J109" s="191"/>
      <c r="K109" s="191"/>
      <c r="L109" s="191"/>
      <c r="M109" s="191"/>
      <c r="N109" s="191"/>
      <c r="O109" s="191"/>
      <c r="P109" s="191"/>
    </row>
    <row r="110" spans="4:16" ht="18" customHeight="1">
      <c r="J110" s="191"/>
      <c r="K110" s="191"/>
      <c r="L110" s="191"/>
      <c r="M110" s="191"/>
      <c r="N110" s="191"/>
      <c r="O110" s="191"/>
      <c r="P110" s="191"/>
    </row>
    <row r="111" spans="4:16" ht="18" customHeight="1">
      <c r="J111" s="191"/>
      <c r="K111" s="191"/>
      <c r="L111" s="191"/>
      <c r="M111" s="191"/>
      <c r="N111" s="191"/>
      <c r="O111" s="191"/>
      <c r="P111" s="191"/>
    </row>
    <row r="112" spans="4:16">
      <c r="D112" s="66"/>
      <c r="E112" s="66"/>
      <c r="J112" s="218"/>
      <c r="K112" s="191"/>
      <c r="L112" s="191"/>
      <c r="M112" s="191"/>
      <c r="N112" s="191"/>
      <c r="O112" s="191"/>
      <c r="P112" s="191"/>
    </row>
    <row r="113" spans="2:20">
      <c r="D113" s="66"/>
      <c r="E113" s="66"/>
      <c r="J113" s="191"/>
      <c r="K113" s="191"/>
      <c r="L113" s="191"/>
      <c r="M113" s="191"/>
      <c r="N113" s="191"/>
      <c r="O113" s="191"/>
      <c r="P113" s="191"/>
    </row>
    <row r="114" spans="2:20">
      <c r="D114" s="66"/>
      <c r="E114" s="36"/>
      <c r="J114" s="191"/>
      <c r="K114" s="191"/>
      <c r="L114" s="191"/>
      <c r="M114" s="191"/>
      <c r="N114" s="191"/>
      <c r="O114" s="191"/>
      <c r="P114" s="191"/>
    </row>
    <row r="115" spans="2:20">
      <c r="D115" s="45"/>
      <c r="E115" s="66"/>
      <c r="J115" s="191"/>
      <c r="K115" s="191"/>
      <c r="L115" s="191"/>
      <c r="M115" s="191"/>
      <c r="N115" s="191"/>
      <c r="O115" s="191"/>
      <c r="P115" s="191"/>
    </row>
    <row r="116" spans="2:20">
      <c r="E116" s="36"/>
      <c r="J116" s="191"/>
      <c r="K116" s="191"/>
      <c r="L116" s="191"/>
      <c r="M116" s="191"/>
      <c r="N116" s="191"/>
      <c r="O116" s="191"/>
      <c r="P116" s="191"/>
    </row>
    <row r="117" spans="2:20">
      <c r="B117" s="194"/>
      <c r="C117" s="194"/>
      <c r="D117" s="194"/>
      <c r="E117" s="194"/>
      <c r="F117" s="194"/>
      <c r="G117" s="194"/>
      <c r="H117" s="194"/>
      <c r="I117" s="194"/>
      <c r="J117" s="191"/>
      <c r="K117" s="191"/>
      <c r="L117" s="191"/>
      <c r="M117" s="191"/>
      <c r="N117" s="191"/>
      <c r="O117" s="191"/>
      <c r="P117" s="191"/>
      <c r="Q117" s="194"/>
      <c r="R117" s="194"/>
      <c r="S117" s="194"/>
      <c r="T117" s="194"/>
    </row>
    <row r="118" spans="2:20">
      <c r="B118" s="194"/>
      <c r="C118" s="194"/>
      <c r="D118" s="194"/>
      <c r="E118" s="194"/>
      <c r="F118" s="194"/>
      <c r="G118" s="194"/>
      <c r="H118" s="194"/>
      <c r="I118" s="194"/>
      <c r="J118" s="191"/>
      <c r="K118" s="191"/>
      <c r="L118" s="191"/>
      <c r="M118" s="191"/>
      <c r="N118" s="191"/>
      <c r="O118" s="191"/>
      <c r="P118" s="191"/>
      <c r="Q118" s="194"/>
      <c r="R118" s="194"/>
      <c r="S118" s="194"/>
      <c r="T118" s="194"/>
    </row>
    <row r="119" spans="2:20">
      <c r="B119" s="194"/>
      <c r="C119" s="194"/>
      <c r="D119" s="194"/>
      <c r="E119" s="194"/>
      <c r="F119" s="194"/>
      <c r="G119" s="194"/>
      <c r="H119" s="194"/>
      <c r="I119" s="194"/>
      <c r="J119" s="191"/>
      <c r="K119" s="191"/>
      <c r="L119" s="191"/>
      <c r="M119" s="191"/>
      <c r="N119" s="191"/>
      <c r="O119" s="191"/>
      <c r="P119" s="191"/>
      <c r="Q119" s="194"/>
      <c r="R119" s="194"/>
      <c r="S119" s="194"/>
      <c r="T119" s="194"/>
    </row>
    <row r="120" spans="2:20">
      <c r="B120" s="194"/>
      <c r="C120" s="194"/>
      <c r="D120" s="194"/>
      <c r="E120" s="194"/>
      <c r="F120" s="194"/>
      <c r="G120" s="194"/>
      <c r="H120" s="194"/>
      <c r="I120" s="194"/>
      <c r="J120" s="191"/>
      <c r="K120" s="191"/>
      <c r="L120" s="191"/>
      <c r="M120" s="191"/>
      <c r="N120" s="191"/>
      <c r="O120" s="191"/>
      <c r="P120" s="191"/>
      <c r="Q120" s="194"/>
      <c r="R120" s="194"/>
      <c r="S120" s="194"/>
      <c r="T120" s="194"/>
    </row>
    <row r="121" spans="2:20">
      <c r="B121" s="194"/>
      <c r="C121" s="194"/>
      <c r="D121" s="194"/>
      <c r="E121" s="194"/>
      <c r="F121" s="194"/>
      <c r="G121" s="194"/>
      <c r="H121" s="194"/>
      <c r="I121" s="194"/>
      <c r="J121" s="191"/>
      <c r="K121" s="191"/>
      <c r="L121" s="191"/>
      <c r="M121" s="191"/>
      <c r="N121" s="191"/>
      <c r="O121" s="191"/>
      <c r="P121" s="191"/>
      <c r="Q121" s="194"/>
      <c r="R121" s="194"/>
      <c r="S121" s="194"/>
      <c r="T121" s="194"/>
    </row>
    <row r="122" spans="2:20">
      <c r="B122" s="194"/>
      <c r="C122" s="194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4"/>
      <c r="R122" s="194"/>
      <c r="S122" s="194"/>
      <c r="T122" s="194"/>
    </row>
    <row r="123" spans="2:20">
      <c r="B123" s="194"/>
      <c r="C123" s="194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4"/>
      <c r="R123" s="194"/>
      <c r="S123" s="194"/>
      <c r="T123" s="194"/>
    </row>
    <row r="124" spans="2:20">
      <c r="B124" s="194"/>
      <c r="C124" s="194"/>
      <c r="D124" s="191"/>
      <c r="E124" s="192"/>
      <c r="F124" s="192"/>
      <c r="G124" s="192"/>
      <c r="H124" s="192"/>
      <c r="I124" s="192"/>
      <c r="J124" s="192"/>
      <c r="K124" s="191"/>
      <c r="L124" s="191"/>
      <c r="M124" s="191"/>
      <c r="N124" s="191"/>
      <c r="O124" s="191"/>
      <c r="P124" s="191"/>
      <c r="Q124" s="194"/>
      <c r="R124" s="194"/>
      <c r="S124" s="194"/>
      <c r="T124" s="194"/>
    </row>
    <row r="125" spans="2:20" s="181" customFormat="1">
      <c r="B125" s="194"/>
      <c r="C125" s="194"/>
      <c r="D125" s="191" t="str">
        <f>+D2</f>
        <v>Enero
January</v>
      </c>
      <c r="E125" s="191" t="str">
        <f t="shared" ref="E125:O125" si="36">+E2</f>
        <v>Febrero
February</v>
      </c>
      <c r="F125" s="191" t="str">
        <f t="shared" si="36"/>
        <v>Marzo
March</v>
      </c>
      <c r="G125" s="191" t="str">
        <f t="shared" si="36"/>
        <v>Abril 
April</v>
      </c>
      <c r="H125" s="191" t="str">
        <f t="shared" si="36"/>
        <v>Mayo
May</v>
      </c>
      <c r="I125" s="191" t="str">
        <f t="shared" si="36"/>
        <v>Junio
June</v>
      </c>
      <c r="J125" s="191" t="str">
        <f t="shared" si="36"/>
        <v>Julio
July</v>
      </c>
      <c r="K125" s="191" t="str">
        <f t="shared" si="36"/>
        <v>Agosto
August</v>
      </c>
      <c r="L125" s="191" t="str">
        <f t="shared" si="36"/>
        <v>Septiembre
September</v>
      </c>
      <c r="M125" s="191" t="str">
        <f t="shared" si="36"/>
        <v>Octubre
October</v>
      </c>
      <c r="N125" s="191" t="str">
        <f t="shared" si="36"/>
        <v>Noviembre
November</v>
      </c>
      <c r="O125" s="191" t="str">
        <f t="shared" si="36"/>
        <v>Diciembre
December</v>
      </c>
      <c r="P125" s="191"/>
      <c r="Q125" s="194"/>
      <c r="R125" s="194"/>
      <c r="S125" s="194"/>
      <c r="T125" s="194"/>
    </row>
    <row r="126" spans="2:20" s="181" customFormat="1">
      <c r="B126" s="194"/>
      <c r="C126" s="194"/>
      <c r="D126" s="192">
        <f>+D81</f>
        <v>4424.3683247339986</v>
      </c>
      <c r="E126" s="192">
        <f>+D126+E81</f>
        <v>8754.8053478139991</v>
      </c>
      <c r="F126" s="192">
        <f>+E126+F81</f>
        <v>13644.036863537</v>
      </c>
      <c r="G126" s="192">
        <f t="shared" ref="G126:K126" si="37">+F126+G81</f>
        <v>18325.826299652999</v>
      </c>
      <c r="H126" s="192">
        <f t="shared" si="37"/>
        <v>22925.650252262996</v>
      </c>
      <c r="I126" s="192">
        <f t="shared" si="37"/>
        <v>27430.158040003997</v>
      </c>
      <c r="J126" s="192">
        <f t="shared" si="37"/>
        <v>31949.833725493998</v>
      </c>
      <c r="K126" s="192">
        <f t="shared" si="37"/>
        <v>36329.375853493999</v>
      </c>
      <c r="L126" s="191"/>
      <c r="M126" s="191"/>
      <c r="N126" s="191"/>
      <c r="O126" s="191"/>
      <c r="P126" s="191"/>
      <c r="Q126" s="194"/>
      <c r="R126" s="194"/>
      <c r="S126" s="194"/>
      <c r="T126" s="194"/>
    </row>
    <row r="127" spans="2:20" s="182" customFormat="1">
      <c r="B127" s="195"/>
      <c r="C127" s="195"/>
      <c r="D127" s="217">
        <f>+'Producción Laminados 2017'!D81</f>
        <v>4268.1126248099999</v>
      </c>
      <c r="E127" s="217">
        <f>+D127+'Producción Laminados 2017'!E81</f>
        <v>8334.7885768100004</v>
      </c>
      <c r="F127" s="217">
        <f>+E127+'Producción Laminados 2017'!F81</f>
        <v>12852.670584117001</v>
      </c>
      <c r="G127" s="217">
        <f>+F127+'Producción Laminados 2017'!G81</f>
        <v>17281.562651117001</v>
      </c>
      <c r="H127" s="217">
        <f>+G127+'Producción Laminados 2017'!H81</f>
        <v>21736.788342117001</v>
      </c>
      <c r="I127" s="217">
        <f>+H127+'Producción Laminados 2017'!I81</f>
        <v>26125.692297099002</v>
      </c>
      <c r="J127" s="217">
        <f>+I127+'Producción Laminados 2017'!J81</f>
        <v>30560.002521339004</v>
      </c>
      <c r="K127" s="217">
        <f>+J127+'Producción Laminados 2017'!K81</f>
        <v>35075.745815942006</v>
      </c>
      <c r="L127" s="217"/>
      <c r="M127" s="217"/>
      <c r="N127" s="217"/>
      <c r="O127" s="217"/>
      <c r="P127" s="217"/>
      <c r="Q127" s="195"/>
      <c r="R127" s="195"/>
      <c r="S127" s="195"/>
      <c r="T127" s="195"/>
    </row>
    <row r="128" spans="2:20" s="183" customFormat="1">
      <c r="B128" s="196"/>
      <c r="C128" s="196"/>
      <c r="D128" s="184">
        <f>+(D126-D127)/D127</f>
        <v>3.661002266334399E-2</v>
      </c>
      <c r="E128" s="184">
        <f t="shared" ref="E128:J128" si="38">+(E126-E127)/E127</f>
        <v>5.0393212393247407E-2</v>
      </c>
      <c r="F128" s="184">
        <f t="shared" si="38"/>
        <v>6.157212808347777E-2</v>
      </c>
      <c r="G128" s="184">
        <f t="shared" si="38"/>
        <v>6.0426459667899397E-2</v>
      </c>
      <c r="H128" s="184">
        <f t="shared" si="38"/>
        <v>5.4693540344341832E-2</v>
      </c>
      <c r="I128" s="184">
        <f t="shared" si="38"/>
        <v>4.9930379952068976E-2</v>
      </c>
      <c r="J128" s="184">
        <f t="shared" si="38"/>
        <v>4.5478766017264652E-2</v>
      </c>
      <c r="K128" s="184">
        <f>+(K126-K127)/K127</f>
        <v>3.5740652362186279E-2</v>
      </c>
      <c r="L128" s="184" t="e">
        <f t="shared" ref="L128:O128" si="39">+(L126-L127)/L127</f>
        <v>#DIV/0!</v>
      </c>
      <c r="M128" s="184" t="e">
        <f t="shared" si="39"/>
        <v>#DIV/0!</v>
      </c>
      <c r="N128" s="184" t="e">
        <f t="shared" si="39"/>
        <v>#DIV/0!</v>
      </c>
      <c r="O128" s="184" t="e">
        <f t="shared" si="39"/>
        <v>#DIV/0!</v>
      </c>
      <c r="P128" s="184"/>
      <c r="Q128" s="196"/>
      <c r="R128" s="196"/>
      <c r="S128" s="196"/>
      <c r="T128" s="196"/>
    </row>
    <row r="129" spans="2:20">
      <c r="B129" s="194"/>
      <c r="C129" s="194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4"/>
      <c r="R129" s="194"/>
      <c r="S129" s="194"/>
      <c r="T129" s="194"/>
    </row>
    <row r="130" spans="2:20"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</row>
  </sheetData>
  <mergeCells count="16">
    <mergeCell ref="B63:B67"/>
    <mergeCell ref="B68:B72"/>
    <mergeCell ref="B73:B77"/>
    <mergeCell ref="B78:B82"/>
    <mergeCell ref="B33:B37"/>
    <mergeCell ref="B38:B42"/>
    <mergeCell ref="B43:B47"/>
    <mergeCell ref="B48:B52"/>
    <mergeCell ref="B53:B57"/>
    <mergeCell ref="B58:B62"/>
    <mergeCell ref="B28:B32"/>
    <mergeCell ref="B3:B7"/>
    <mergeCell ref="B8:B12"/>
    <mergeCell ref="B13:B17"/>
    <mergeCell ref="B18:B22"/>
    <mergeCell ref="B23:B27"/>
  </mergeCells>
  <hyperlinks>
    <hyperlink ref="P1" location="Índice!A1" display="Í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T92"/>
  <sheetViews>
    <sheetView topLeftCell="A28" zoomScale="70" zoomScaleNormal="70" zoomScaleSheetLayoutView="90" workbookViewId="0">
      <selection activeCell="B63" sqref="B63:B67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5" width="13.7109375" style="2" customWidth="1"/>
    <col min="6" max="15" width="13.7109375" style="36" customWidth="1"/>
    <col min="16" max="16" width="13.7109375" style="2" customWidth="1"/>
    <col min="17" max="17" width="2.7109375" style="2" customWidth="1"/>
    <col min="18" max="16384" width="11.42578125" style="2"/>
  </cols>
  <sheetData>
    <row r="1" spans="2:20" s="8" customFormat="1" ht="38.25" customHeight="1" thickBot="1">
      <c r="B1" s="22" t="s">
        <v>159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87" t="s">
        <v>111</v>
      </c>
    </row>
    <row r="2" spans="2:20" ht="30" customHeight="1" thickTop="1">
      <c r="B2" s="33" t="s">
        <v>36</v>
      </c>
      <c r="C2" s="21" t="s">
        <v>23</v>
      </c>
      <c r="D2" s="140" t="s">
        <v>27</v>
      </c>
      <c r="E2" s="140" t="s">
        <v>28</v>
      </c>
      <c r="F2" s="142" t="s">
        <v>26</v>
      </c>
      <c r="G2" s="142" t="s">
        <v>22</v>
      </c>
      <c r="H2" s="142" t="s">
        <v>29</v>
      </c>
      <c r="I2" s="142" t="s">
        <v>30</v>
      </c>
      <c r="J2" s="142" t="s">
        <v>31</v>
      </c>
      <c r="K2" s="142" t="s">
        <v>32</v>
      </c>
      <c r="L2" s="142" t="s">
        <v>33</v>
      </c>
      <c r="M2" s="142" t="s">
        <v>24</v>
      </c>
      <c r="N2" s="142" t="s">
        <v>34</v>
      </c>
      <c r="O2" s="142" t="s">
        <v>35</v>
      </c>
      <c r="P2" s="140" t="s">
        <v>25</v>
      </c>
      <c r="R2" s="36" t="s">
        <v>192</v>
      </c>
    </row>
    <row r="3" spans="2:20" ht="18" customHeight="1">
      <c r="B3" s="265" t="s">
        <v>0</v>
      </c>
      <c r="C3" s="29" t="s">
        <v>65</v>
      </c>
      <c r="D3" s="34">
        <v>94.572999999999993</v>
      </c>
      <c r="E3" s="34">
        <v>110.28700000000001</v>
      </c>
      <c r="F3" s="34">
        <v>135.376</v>
      </c>
      <c r="G3" s="34">
        <v>133.09800000000001</v>
      </c>
      <c r="H3" s="34">
        <v>139.19300000000001</v>
      </c>
      <c r="I3" s="34">
        <v>131.68</v>
      </c>
      <c r="J3" s="34">
        <v>137.34</v>
      </c>
      <c r="K3" s="34">
        <v>146.49799999999999</v>
      </c>
      <c r="L3" s="34">
        <v>137.98500000000001</v>
      </c>
      <c r="M3" s="34">
        <v>150.006</v>
      </c>
      <c r="N3" s="34">
        <v>150.47800000000001</v>
      </c>
      <c r="O3" s="34">
        <v>127.857</v>
      </c>
      <c r="P3" s="34">
        <f>SUM(D3:O3)</f>
        <v>1594.3710000000003</v>
      </c>
      <c r="R3" s="14"/>
    </row>
    <row r="4" spans="2:20" ht="18" customHeight="1">
      <c r="B4" s="257"/>
      <c r="C4" s="29" t="s">
        <v>59</v>
      </c>
      <c r="D4" s="34">
        <v>179.77699999999999</v>
      </c>
      <c r="E4" s="34">
        <v>174.483</v>
      </c>
      <c r="F4" s="34">
        <v>217.96799999999999</v>
      </c>
      <c r="G4" s="34">
        <v>197.434</v>
      </c>
      <c r="H4" s="34">
        <v>217.97</v>
      </c>
      <c r="I4" s="34">
        <v>214.988</v>
      </c>
      <c r="J4" s="34">
        <v>230.578</v>
      </c>
      <c r="K4" s="34">
        <v>223.02099999999999</v>
      </c>
      <c r="L4" s="34">
        <v>225.285</v>
      </c>
      <c r="M4" s="34">
        <v>68.921999999999997</v>
      </c>
      <c r="N4" s="34">
        <v>195.608</v>
      </c>
      <c r="O4" s="34">
        <v>227.65799999999999</v>
      </c>
      <c r="P4" s="34">
        <f>SUM(D4:O4)</f>
        <v>2373.692</v>
      </c>
      <c r="R4" s="14"/>
    </row>
    <row r="5" spans="2:20" ht="18" customHeight="1">
      <c r="B5" s="257"/>
      <c r="C5" s="29" t="s">
        <v>60</v>
      </c>
      <c r="D5" s="34">
        <v>32.731000000000002</v>
      </c>
      <c r="E5" s="34">
        <v>13.125999999999999</v>
      </c>
      <c r="F5" s="34">
        <v>43.683</v>
      </c>
      <c r="G5" s="34">
        <v>51.911000000000001</v>
      </c>
      <c r="H5" s="34">
        <v>56.939</v>
      </c>
      <c r="I5" s="34">
        <v>51.978999999999999</v>
      </c>
      <c r="J5" s="34">
        <v>58.128999999999998</v>
      </c>
      <c r="K5" s="34">
        <v>52.19</v>
      </c>
      <c r="L5" s="34">
        <v>63.517000000000003</v>
      </c>
      <c r="M5" s="34">
        <v>67.415000000000006</v>
      </c>
      <c r="N5" s="34">
        <v>68.278999999999996</v>
      </c>
      <c r="O5" s="34">
        <v>60.899000000000001</v>
      </c>
      <c r="P5" s="34">
        <f>SUM(D5:O5)</f>
        <v>620.798</v>
      </c>
      <c r="R5" s="14"/>
    </row>
    <row r="6" spans="2:20" ht="18" customHeight="1">
      <c r="B6" s="257"/>
      <c r="C6" s="29" t="s">
        <v>139</v>
      </c>
      <c r="D6" s="171">
        <f>+D3+D4+D5</f>
        <v>307.08099999999996</v>
      </c>
      <c r="E6" s="171">
        <f>+E3+E4+E5</f>
        <v>297.89599999999996</v>
      </c>
      <c r="F6" s="171">
        <f t="shared" ref="F6:O6" si="0">+F3+F4+F5</f>
        <v>397.02699999999999</v>
      </c>
      <c r="G6" s="171">
        <f t="shared" si="0"/>
        <v>382.44300000000004</v>
      </c>
      <c r="H6" s="171">
        <f>+H3+H4+H5</f>
        <v>414.10200000000003</v>
      </c>
      <c r="I6" s="171">
        <f t="shared" si="0"/>
        <v>398.64699999999999</v>
      </c>
      <c r="J6" s="34">
        <f t="shared" si="0"/>
        <v>426.04700000000003</v>
      </c>
      <c r="K6" s="34">
        <f t="shared" si="0"/>
        <v>421.709</v>
      </c>
      <c r="L6" s="34">
        <f t="shared" si="0"/>
        <v>426.78699999999998</v>
      </c>
      <c r="M6" s="34">
        <f t="shared" si="0"/>
        <v>286.34300000000002</v>
      </c>
      <c r="N6" s="34">
        <f t="shared" si="0"/>
        <v>414.36500000000001</v>
      </c>
      <c r="O6" s="34">
        <f t="shared" si="0"/>
        <v>416.41399999999999</v>
      </c>
      <c r="P6" s="34">
        <f>+P3+P4+P5</f>
        <v>4588.8609999999999</v>
      </c>
      <c r="R6" s="46">
        <f>+D6+E6+F6+G6+H6+I6+J6+K6+L6+M6+N6+O6</f>
        <v>4588.860999999999</v>
      </c>
    </row>
    <row r="7" spans="2:20" ht="18" customHeight="1" thickBot="1">
      <c r="B7" s="258"/>
      <c r="C7" s="32" t="s">
        <v>156</v>
      </c>
      <c r="D7" s="35">
        <f>+(D6-'Producción Laminados 2016'!D6)/'Producción Laminados 2016'!D6</f>
        <v>-0.10393900222059479</v>
      </c>
      <c r="E7" s="35">
        <f>+(E6-'Producción Laminados 2016'!E6)/'Producción Laminados 2016'!E6</f>
        <v>0.258166152806521</v>
      </c>
      <c r="F7" s="35">
        <f>+(F6-'Producción Laminados 2016'!F6)/'Producción Laminados 2016'!F6</f>
        <v>6.2640683255580989E-2</v>
      </c>
      <c r="G7" s="35">
        <f>+(G6-'Producción Laminados 2016'!G6)/'Producción Laminados 2016'!G6</f>
        <v>6.6599175040369621E-2</v>
      </c>
      <c r="H7" s="35">
        <f>+(H6-'Producción Laminados 2016'!H6)/'Producción Laminados 2016'!H6</f>
        <v>8.3072657843804104E-2</v>
      </c>
      <c r="I7" s="35">
        <f>+(I6-'Producción Laminados 2016'!I6)/'Producción Laminados 2016'!I6</f>
        <v>0.17952321635160198</v>
      </c>
      <c r="J7" s="35">
        <f>+(J6-'Producción Laminados 2016'!J6)/'Producción Laminados 2016'!J6</f>
        <v>0.29682434838721489</v>
      </c>
      <c r="K7" s="35">
        <f>+(K6-'Producción Laminados 2016'!K6)/'Producción Laminados 2016'!K6</f>
        <v>0.78727362884666741</v>
      </c>
      <c r="L7" s="35">
        <f>+(L6-'Producción Laminados 2016'!L6)/'Producción Laminados 2016'!L6</f>
        <v>0.20636271128950198</v>
      </c>
      <c r="M7" s="35">
        <f>+(M6-'Producción Laminados 2016'!M6)/'Producción Laminados 2016'!M6</f>
        <v>-0.18323297611678899</v>
      </c>
      <c r="N7" s="35">
        <f>+(N6-'Producción Laminados 2016'!N6)/'Producción Laminados 2016'!N6</f>
        <v>0.11128543460187197</v>
      </c>
      <c r="O7" s="35">
        <f>+(O6-'Producción Laminados 2016'!O6)/'Producción Laminados 2016'!O6</f>
        <v>0.34274253358355761</v>
      </c>
      <c r="P7" s="35">
        <f>+(P6-'Producción Laminados 2016'!R6)/'Producción Laminados 2016'!R6</f>
        <v>0.15187891977644491</v>
      </c>
      <c r="R7" s="14">
        <f>+(R6-'Producción Laminados 2016'!S6)/'Producción Laminados 2016'!S6</f>
        <v>0.15187891977644466</v>
      </c>
    </row>
    <row r="8" spans="2:20" ht="18" customHeight="1" thickTop="1">
      <c r="B8" s="256" t="s">
        <v>42</v>
      </c>
      <c r="C8" s="31" t="s">
        <v>65</v>
      </c>
      <c r="D8" s="34">
        <v>720</v>
      </c>
      <c r="E8" s="34">
        <v>672</v>
      </c>
      <c r="F8" s="34">
        <v>747</v>
      </c>
      <c r="G8" s="34">
        <v>727</v>
      </c>
      <c r="H8" s="34">
        <v>711</v>
      </c>
      <c r="I8" s="34">
        <v>714</v>
      </c>
      <c r="J8" s="34">
        <v>718</v>
      </c>
      <c r="K8" s="34">
        <v>733</v>
      </c>
      <c r="L8" s="34">
        <v>712</v>
      </c>
      <c r="M8" s="34">
        <v>820</v>
      </c>
      <c r="N8" s="34">
        <v>785</v>
      </c>
      <c r="O8" s="34">
        <v>675</v>
      </c>
      <c r="P8" s="34">
        <f>SUM(D8:O8)</f>
        <v>8734</v>
      </c>
      <c r="R8" s="14"/>
    </row>
    <row r="9" spans="2:20" ht="18" customHeight="1">
      <c r="B9" s="257"/>
      <c r="C9" s="29" t="s">
        <v>59</v>
      </c>
      <c r="D9" s="34">
        <v>1056</v>
      </c>
      <c r="E9" s="34">
        <v>1028</v>
      </c>
      <c r="F9" s="34">
        <v>1193</v>
      </c>
      <c r="G9" s="34">
        <v>1157</v>
      </c>
      <c r="H9" s="34">
        <v>1103</v>
      </c>
      <c r="I9" s="34">
        <v>1083</v>
      </c>
      <c r="J9" s="34">
        <v>1135</v>
      </c>
      <c r="K9" s="34">
        <v>1209</v>
      </c>
      <c r="L9" s="34">
        <v>1144</v>
      </c>
      <c r="M9" s="34">
        <v>1283</v>
      </c>
      <c r="N9" s="34">
        <v>1202</v>
      </c>
      <c r="O9" s="34">
        <v>1095</v>
      </c>
      <c r="P9" s="34">
        <f>SUM(D9:O9)</f>
        <v>13688</v>
      </c>
      <c r="R9" s="14"/>
    </row>
    <row r="10" spans="2:20" ht="18" customHeight="1">
      <c r="B10" s="257"/>
      <c r="C10" s="29" t="s">
        <v>60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>
        <f>SUM(D10:O10)</f>
        <v>0</v>
      </c>
      <c r="R10" s="14"/>
    </row>
    <row r="11" spans="2:20" ht="18" customHeight="1">
      <c r="B11" s="257"/>
      <c r="C11" s="29" t="s">
        <v>139</v>
      </c>
      <c r="D11" s="171">
        <f>+D8+D9+D10</f>
        <v>1776</v>
      </c>
      <c r="E11" s="171">
        <f>+E8+E9+E10</f>
        <v>1700</v>
      </c>
      <c r="F11" s="171">
        <f t="shared" ref="F11:P11" si="1">+F8+F9+F10</f>
        <v>1940</v>
      </c>
      <c r="G11" s="171">
        <f t="shared" si="1"/>
        <v>1884</v>
      </c>
      <c r="H11" s="171">
        <f t="shared" si="1"/>
        <v>1814</v>
      </c>
      <c r="I11" s="171">
        <f t="shared" si="1"/>
        <v>1797</v>
      </c>
      <c r="J11" s="34">
        <f t="shared" si="1"/>
        <v>1853</v>
      </c>
      <c r="K11" s="34">
        <f t="shared" si="1"/>
        <v>1942</v>
      </c>
      <c r="L11" s="34">
        <f t="shared" si="1"/>
        <v>1856</v>
      </c>
      <c r="M11" s="34">
        <f t="shared" si="1"/>
        <v>2103</v>
      </c>
      <c r="N11" s="34">
        <f t="shared" si="1"/>
        <v>1987</v>
      </c>
      <c r="O11" s="34">
        <f t="shared" si="1"/>
        <v>1770</v>
      </c>
      <c r="P11" s="34">
        <f t="shared" si="1"/>
        <v>22422</v>
      </c>
      <c r="R11" s="46">
        <f t="shared" ref="R11" si="2">+D11+E11+F11+G11+H11+I11+J11+K11+L11+M11+N11+O11</f>
        <v>22422</v>
      </c>
      <c r="S11" s="14">
        <f>+R11/R81</f>
        <v>0.4239583460829347</v>
      </c>
    </row>
    <row r="12" spans="2:20" ht="18" customHeight="1" thickBot="1">
      <c r="B12" s="258"/>
      <c r="C12" s="32" t="s">
        <v>156</v>
      </c>
      <c r="D12" s="35">
        <f>+(D11-'Producción Laminados 2016'!D11)/'Producción Laminados 2016'!D11</f>
        <v>0.10037174721189591</v>
      </c>
      <c r="E12" s="35">
        <f>+(E11-'Producción Laminados 2016'!E11)/'Producción Laminados 2016'!E11</f>
        <v>0</v>
      </c>
      <c r="F12" s="35">
        <f>+(F11-'Producción Laminados 2016'!F11)/'Producción Laminados 2016'!F11</f>
        <v>0.10541310541310542</v>
      </c>
      <c r="G12" s="35">
        <f>+(G11-'Producción Laminados 2016'!G11)/'Producción Laminados 2016'!G11</f>
        <v>0.15229357798165138</v>
      </c>
      <c r="H12" s="35">
        <f>+(H11-'Producción Laminados 2016'!H11)/'Producción Laminados 2016'!H11</f>
        <v>4.9768518518518517E-2</v>
      </c>
      <c r="I12" s="35">
        <f>+(I11-'Producción Laminados 2016'!I11)/'Producción Laminados 2016'!I11</f>
        <v>1.2965050732807215E-2</v>
      </c>
      <c r="J12" s="35">
        <f>+(J11-'Producción Laminados 2016'!J11)/'Producción Laminados 2016'!J11</f>
        <v>-3.0857740585774059E-2</v>
      </c>
      <c r="K12" s="35">
        <f>+(K11-'Producción Laminados 2016'!K11)/'Producción Laminados 2016'!K11</f>
        <v>3.0238726790450927E-2</v>
      </c>
      <c r="L12" s="35">
        <f>+(L11-'Producción Laminados 2016'!L11)/'Producción Laminados 2016'!L11</f>
        <v>2.5981205085682697E-2</v>
      </c>
      <c r="M12" s="35">
        <f>+(M11-'Producción Laminados 2016'!M11)/'Producción Laminados 2016'!M11</f>
        <v>8.7383660806618413E-2</v>
      </c>
      <c r="N12" s="35">
        <f>+(N11-'Producción Laminados 2016'!N11)/'Producción Laminados 2016'!N11</f>
        <v>0.1188063063063063</v>
      </c>
      <c r="O12" s="35">
        <f>+(O11-'Producción Laminados 2016'!O11)/'Producción Laminados 2016'!O11</f>
        <v>0.26609442060085836</v>
      </c>
      <c r="P12" s="35">
        <f>+(P11-'Producción Laminados 2016'!R11)/'Producción Laminados 2016'!R11</f>
        <v>7.1797323135755264E-2</v>
      </c>
      <c r="R12" s="14">
        <f>+(R11-'Producción Laminados 2016'!S11)/'Producción Laminados 2016'!S11</f>
        <v>7.1797323135755264E-2</v>
      </c>
    </row>
    <row r="13" spans="2:20" ht="18" customHeight="1" thickTop="1">
      <c r="B13" s="256" t="s">
        <v>1</v>
      </c>
      <c r="C13" s="31" t="s">
        <v>65</v>
      </c>
      <c r="D13" s="34">
        <v>77.506619999999174</v>
      </c>
      <c r="E13" s="34">
        <v>94.782967000000156</v>
      </c>
      <c r="F13" s="34">
        <v>92.755231999999253</v>
      </c>
      <c r="G13" s="34">
        <v>93.218622999999596</v>
      </c>
      <c r="H13" s="34">
        <v>93.099626000000384</v>
      </c>
      <c r="I13" s="34">
        <v>89.310775000000078</v>
      </c>
      <c r="J13" s="34">
        <v>92.465806999999884</v>
      </c>
      <c r="K13" s="34">
        <v>80.94204300000024</v>
      </c>
      <c r="L13" s="34">
        <v>74.375135999998122</v>
      </c>
      <c r="M13" s="34">
        <v>86.228441999999617</v>
      </c>
      <c r="N13" s="34">
        <v>90.684721000000053</v>
      </c>
      <c r="O13" s="34">
        <v>96.263512999997062</v>
      </c>
      <c r="P13" s="34">
        <f>SUM(D13:O13)</f>
        <v>1061.6335049999939</v>
      </c>
      <c r="R13" s="14"/>
    </row>
    <row r="14" spans="2:20" ht="18" customHeight="1">
      <c r="B14" s="257"/>
      <c r="C14" s="29" t="s">
        <v>59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>
        <f>SUM(D14:O14)</f>
        <v>0</v>
      </c>
      <c r="R14" s="14"/>
      <c r="T14" s="2">
        <f>1025/12</f>
        <v>85.416666666666671</v>
      </c>
    </row>
    <row r="15" spans="2:20" ht="18" customHeight="1">
      <c r="B15" s="257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0</v>
      </c>
      <c r="R15" s="14"/>
    </row>
    <row r="16" spans="2:20" ht="18" customHeight="1">
      <c r="B16" s="257"/>
      <c r="C16" s="29" t="s">
        <v>139</v>
      </c>
      <c r="D16" s="171">
        <f>+D13+D14+D15</f>
        <v>77.506619999999174</v>
      </c>
      <c r="E16" s="171">
        <f>+E13+E14+E15</f>
        <v>94.782967000000156</v>
      </c>
      <c r="F16" s="171">
        <f t="shared" ref="F16:P16" si="3">+F13+F14+F15</f>
        <v>92.755231999999253</v>
      </c>
      <c r="G16" s="171">
        <f t="shared" si="3"/>
        <v>93.218622999999596</v>
      </c>
      <c r="H16" s="171">
        <f t="shared" si="3"/>
        <v>93.099626000000384</v>
      </c>
      <c r="I16" s="171">
        <f t="shared" si="3"/>
        <v>89.310775000000078</v>
      </c>
      <c r="J16" s="34">
        <f t="shared" si="3"/>
        <v>92.465806999999884</v>
      </c>
      <c r="K16" s="34">
        <f t="shared" si="3"/>
        <v>80.94204300000024</v>
      </c>
      <c r="L16" s="34">
        <f t="shared" si="3"/>
        <v>74.375135999998122</v>
      </c>
      <c r="M16" s="34">
        <f t="shared" si="3"/>
        <v>86.228441999999617</v>
      </c>
      <c r="N16" s="34">
        <f t="shared" si="3"/>
        <v>90.684721000000053</v>
      </c>
      <c r="O16" s="34">
        <f t="shared" si="3"/>
        <v>96.263512999997062</v>
      </c>
      <c r="P16" s="34">
        <f t="shared" si="3"/>
        <v>1061.6335049999939</v>
      </c>
      <c r="R16" s="46">
        <f t="shared" ref="R16" si="4">+D16+E16+F16+G16+H16+I16+J16+K16+L16+M16+N16+O16</f>
        <v>1061.6335049999939</v>
      </c>
    </row>
    <row r="17" spans="2:18" ht="18" customHeight="1" thickBot="1">
      <c r="B17" s="258"/>
      <c r="C17" s="32" t="s">
        <v>156</v>
      </c>
      <c r="D17" s="35">
        <f>+(D16-'Producción Laminados 2016'!D16)/'Producción Laminados 2016'!D16</f>
        <v>-0.10751949287302728</v>
      </c>
      <c r="E17" s="35">
        <f>+(E16-'Producción Laminados 2016'!E16)/'Producción Laminados 2016'!E16</f>
        <v>5.0796213744335759E-2</v>
      </c>
      <c r="F17" s="35">
        <f>+(F16-'Producción Laminados 2016'!F16)/'Producción Laminados 2016'!F16</f>
        <v>4.4447641606407816E-2</v>
      </c>
      <c r="G17" s="35">
        <f>+(G16-'Producción Laminados 2016'!G16)/'Producción Laminados 2016'!G16</f>
        <v>4.4934401093763406E-2</v>
      </c>
      <c r="H17" s="35">
        <f>+(H16-'Producción Laminados 2016'!H16)/'Producción Laminados 2016'!H16</f>
        <v>-8.5878172972803035E-2</v>
      </c>
      <c r="I17" s="35">
        <f>+(I16-'Producción Laminados 2016'!I16)/'Producción Laminados 2016'!I16</f>
        <v>-3.2923310162920341E-2</v>
      </c>
      <c r="J17" s="35">
        <f>+(J16-'Producción Laminados 2016'!J16)/'Producción Laminados 2016'!J16</f>
        <v>-5.0623137545024156E-2</v>
      </c>
      <c r="K17" s="35">
        <f>+(K16-'Producción Laminados 2016'!K16)/'Producción Laminados 2016'!K16</f>
        <v>1.9905856138277103E-4</v>
      </c>
      <c r="L17" s="35">
        <f>+(L16-'Producción Laminados 2016'!L16)/'Producción Laminados 2016'!L16</f>
        <v>-4.8444330629017425E-4</v>
      </c>
      <c r="M17" s="35">
        <f>+(M16-'Producción Laminados 2016'!M16)/'Producción Laminados 2016'!M16</f>
        <v>-0.11763856617226949</v>
      </c>
      <c r="N17" s="35">
        <f>+(N16-'Producción Laminados 2016'!N16)/'Producción Laminados 2016'!N16</f>
        <v>-4.7732616399146686E-2</v>
      </c>
      <c r="O17" s="35">
        <f>+(O16-'Producción Laminados 2016'!O16)/'Producción Laminados 2016'!O16</f>
        <v>0.12129196674025328</v>
      </c>
      <c r="P17" s="35">
        <f>+(P16-'Producción Laminados 2016'!R16)/'Producción Laminados 2016'!R16</f>
        <v>-1.773294244930233E-2</v>
      </c>
      <c r="R17" s="14">
        <f>+(R16-'Producción Laminados 2016'!S16)/'Producción Laminados 2016'!S16</f>
        <v>-1.773294244930233E-2</v>
      </c>
    </row>
    <row r="18" spans="2:18" ht="18" customHeight="1" thickTop="1">
      <c r="B18" s="256" t="s">
        <v>2</v>
      </c>
      <c r="C18" s="31" t="s">
        <v>65</v>
      </c>
      <c r="D18" s="34">
        <v>103.718293</v>
      </c>
      <c r="E18" s="34">
        <v>110.73896200000001</v>
      </c>
      <c r="F18" s="34">
        <v>121.12987199999999</v>
      </c>
      <c r="G18" s="34">
        <v>115.977368</v>
      </c>
      <c r="H18" s="34">
        <v>110.17179999999989</v>
      </c>
      <c r="I18" s="34">
        <v>113.22014799999999</v>
      </c>
      <c r="J18" s="34">
        <v>104.44104400000001</v>
      </c>
      <c r="K18" s="34">
        <v>121.974119</v>
      </c>
      <c r="L18" s="34">
        <v>118.490127</v>
      </c>
      <c r="M18" s="34">
        <v>138.080006</v>
      </c>
      <c r="N18" s="171">
        <v>130.126</v>
      </c>
      <c r="O18" s="171">
        <v>125.67</v>
      </c>
      <c r="P18" s="34">
        <f>SUM(D18:O18)</f>
        <v>1413.7377389999999</v>
      </c>
      <c r="R18" s="14"/>
    </row>
    <row r="19" spans="2:18" ht="18" customHeight="1">
      <c r="B19" s="257"/>
      <c r="C19" s="29" t="s">
        <v>59</v>
      </c>
      <c r="D19" s="34">
        <v>45.986301999999995</v>
      </c>
      <c r="E19" s="34">
        <v>43.018999999999998</v>
      </c>
      <c r="F19" s="34">
        <v>46.449021999999999</v>
      </c>
      <c r="G19" s="34">
        <v>41.074703</v>
      </c>
      <c r="H19" s="34">
        <v>45.511000000000003</v>
      </c>
      <c r="I19" s="34">
        <v>28.759</v>
      </c>
      <c r="J19" s="34">
        <v>38.203000000000003</v>
      </c>
      <c r="K19" s="34">
        <v>45.338000000000001</v>
      </c>
      <c r="L19" s="34">
        <v>32.734317000000004</v>
      </c>
      <c r="M19" s="34">
        <v>40.948999999999998</v>
      </c>
      <c r="N19" s="171">
        <v>36.396999999999998</v>
      </c>
      <c r="O19" s="171">
        <v>37.314</v>
      </c>
      <c r="P19" s="34">
        <f>SUM(D19:O19)</f>
        <v>481.73434400000002</v>
      </c>
      <c r="R19" s="14"/>
    </row>
    <row r="20" spans="2:18" ht="18" customHeight="1">
      <c r="B20" s="257"/>
      <c r="C20" s="29" t="s">
        <v>60</v>
      </c>
      <c r="D20" s="34">
        <v>0</v>
      </c>
      <c r="E20" s="34">
        <v>0</v>
      </c>
      <c r="F20" s="34">
        <v>0</v>
      </c>
      <c r="G20" s="34">
        <v>0</v>
      </c>
      <c r="H20" s="30">
        <v>0</v>
      </c>
      <c r="I20" s="30"/>
      <c r="J20" s="30"/>
      <c r="K20" s="34"/>
      <c r="L20" s="34"/>
      <c r="M20" s="30"/>
      <c r="N20" s="171"/>
      <c r="O20" s="171"/>
      <c r="P20" s="34">
        <f>SUM(D20:O20)</f>
        <v>0</v>
      </c>
      <c r="R20" s="14"/>
    </row>
    <row r="21" spans="2:18" ht="18" customHeight="1">
      <c r="B21" s="257"/>
      <c r="C21" s="29" t="s">
        <v>139</v>
      </c>
      <c r="D21" s="171">
        <f>+D18+D19+D20</f>
        <v>149.70459499999998</v>
      </c>
      <c r="E21" s="171">
        <f>+E18+E19+E20</f>
        <v>153.75796200000002</v>
      </c>
      <c r="F21" s="171">
        <f t="shared" ref="F21:P21" si="5">+F18+F19+F20</f>
        <v>167.57889399999999</v>
      </c>
      <c r="G21" s="171">
        <f>+G18+G19+G20</f>
        <v>157.05207100000001</v>
      </c>
      <c r="H21" s="171">
        <f t="shared" si="5"/>
        <v>155.6827999999999</v>
      </c>
      <c r="I21" s="171">
        <f t="shared" si="5"/>
        <v>141.97914800000001</v>
      </c>
      <c r="J21" s="34">
        <f t="shared" si="5"/>
        <v>142.64404400000001</v>
      </c>
      <c r="K21" s="34">
        <f t="shared" si="5"/>
        <v>167.312119</v>
      </c>
      <c r="L21" s="34">
        <f t="shared" si="5"/>
        <v>151.22444400000001</v>
      </c>
      <c r="M21" s="34">
        <f t="shared" si="5"/>
        <v>179.02900599999998</v>
      </c>
      <c r="N21" s="171">
        <f t="shared" si="5"/>
        <v>166.523</v>
      </c>
      <c r="O21" s="171">
        <f t="shared" si="5"/>
        <v>162.98400000000001</v>
      </c>
      <c r="P21" s="34">
        <f t="shared" si="5"/>
        <v>1895.4720829999999</v>
      </c>
      <c r="R21" s="46">
        <f t="shared" ref="R21" si="6">+D21+E21+F21+G21+H21+I21+J21+K21+L21+M21+N21+O21</f>
        <v>1895.4720829999997</v>
      </c>
    </row>
    <row r="22" spans="2:18" ht="18" customHeight="1" thickBot="1">
      <c r="B22" s="258"/>
      <c r="C22" s="32" t="s">
        <v>156</v>
      </c>
      <c r="D22" s="35">
        <f>+(D21-'Producción Laminados 2016'!D21)/'Producción Laminados 2016'!D21</f>
        <v>0.12062966255493038</v>
      </c>
      <c r="E22" s="35">
        <f>+(E21-'Producción Laminados 2016'!E21)/'Producción Laminados 2016'!E21</f>
        <v>-3.2585282487583293E-2</v>
      </c>
      <c r="F22" s="35">
        <f>+(F21-'Producción Laminados 2016'!F21)/'Producción Laminados 2016'!F21</f>
        <v>5.3461076713194292E-2</v>
      </c>
      <c r="G22" s="35">
        <f>+(G21-'Producción Laminados 2016'!G21)/'Producción Laminados 2016'!G21</f>
        <v>0.10881517265588408</v>
      </c>
      <c r="H22" s="35">
        <f>+(H21-'Producción Laminados 2016'!H21)/'Producción Laminados 2016'!H21</f>
        <v>1.5763871978915583E-2</v>
      </c>
      <c r="I22" s="35">
        <f>+(I21-'Producción Laminados 2016'!I21)/'Producción Laminados 2016'!I21</f>
        <v>-8.0287774603654063E-2</v>
      </c>
      <c r="J22" s="35">
        <f>+(J21-'Producción Laminados 2016'!J21)/'Producción Laminados 2016'!J21</f>
        <v>0.14615274133378142</v>
      </c>
      <c r="K22" s="35">
        <f>+(K21-'Producción Laminados 2016'!K21)/'Producción Laminados 2016'!K21</f>
        <v>9.1548487753446844E-2</v>
      </c>
      <c r="L22" s="35">
        <f>+(L21-'Producción Laminados 2016'!L21)/'Producción Laminados 2016'!L21</f>
        <v>-4.4029254329032409E-2</v>
      </c>
      <c r="M22" s="35">
        <f>+(M21-'Producción Laminados 2016'!M21)/'Producción Laminados 2016'!M21</f>
        <v>0.10298631377811208</v>
      </c>
      <c r="N22" s="35">
        <f>+(N21-'Producción Laminados 2016'!N21)/'Producción Laminados 2016'!N21</f>
        <v>0.2038314259505884</v>
      </c>
      <c r="O22" s="35">
        <f>+(O21-'Producción Laminados 2016'!O21)/'Producción Laminados 2016'!O21</f>
        <v>0.20837194819060037</v>
      </c>
      <c r="P22" s="35">
        <f>+(P21-'Producción Laminados 2016'!R21)/'Producción Laminados 2016'!R21</f>
        <v>6.9483866930123525E-2</v>
      </c>
      <c r="R22" s="14">
        <f>+(R21-'Producción Laminados 2016'!S21)/'Producción Laminados 2016'!S21</f>
        <v>6.9483866930123386E-2</v>
      </c>
    </row>
    <row r="23" spans="2:18" s="3" customFormat="1" ht="18" customHeight="1" thickTop="1">
      <c r="B23" s="256" t="s">
        <v>5</v>
      </c>
      <c r="C23" s="31" t="s">
        <v>65</v>
      </c>
      <c r="D23" s="30">
        <v>28</v>
      </c>
      <c r="E23" s="30">
        <v>29</v>
      </c>
      <c r="F23" s="30">
        <v>33</v>
      </c>
      <c r="G23" s="30">
        <v>34</v>
      </c>
      <c r="H23" s="30">
        <v>34</v>
      </c>
      <c r="I23" s="30">
        <v>32</v>
      </c>
      <c r="J23" s="30">
        <v>33</v>
      </c>
      <c r="K23" s="30">
        <v>32</v>
      </c>
      <c r="L23" s="30">
        <v>30</v>
      </c>
      <c r="M23" s="30">
        <v>32</v>
      </c>
      <c r="N23" s="30">
        <v>31</v>
      </c>
      <c r="O23" s="30">
        <v>30</v>
      </c>
      <c r="P23" s="34">
        <f>SUM(D23:O23)</f>
        <v>378</v>
      </c>
      <c r="R23" s="14"/>
    </row>
    <row r="24" spans="2:18" s="3" customFormat="1" ht="18" customHeight="1">
      <c r="B24" s="257"/>
      <c r="C24" s="29" t="s">
        <v>59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4"/>
      <c r="O24" s="34"/>
      <c r="P24" s="34">
        <f>SUM(D24:O24)</f>
        <v>0</v>
      </c>
      <c r="R24" s="14"/>
    </row>
    <row r="25" spans="2:18" s="3" customFormat="1" ht="18" customHeight="1">
      <c r="B25" s="257"/>
      <c r="C25" s="29" t="s">
        <v>60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4"/>
      <c r="O25" s="34"/>
      <c r="P25" s="34">
        <f>SUM(D25:O25)</f>
        <v>0</v>
      </c>
      <c r="R25" s="14"/>
    </row>
    <row r="26" spans="2:18" s="3" customFormat="1" ht="18" customHeight="1">
      <c r="B26" s="257"/>
      <c r="C26" s="29" t="s">
        <v>139</v>
      </c>
      <c r="D26" s="30">
        <f>+D23+D24+D25</f>
        <v>28</v>
      </c>
      <c r="E26" s="30">
        <f>+E23+E24+E25</f>
        <v>29</v>
      </c>
      <c r="F26" s="30">
        <f t="shared" ref="F26:P26" si="7">+F23+F24+F25</f>
        <v>33</v>
      </c>
      <c r="G26" s="30">
        <f t="shared" si="7"/>
        <v>34</v>
      </c>
      <c r="H26" s="30">
        <f t="shared" si="7"/>
        <v>34</v>
      </c>
      <c r="I26" s="30">
        <f t="shared" si="7"/>
        <v>32</v>
      </c>
      <c r="J26" s="30">
        <f t="shared" si="7"/>
        <v>33</v>
      </c>
      <c r="K26" s="30">
        <f t="shared" si="7"/>
        <v>32</v>
      </c>
      <c r="L26" s="30">
        <f t="shared" si="7"/>
        <v>30</v>
      </c>
      <c r="M26" s="30">
        <f t="shared" si="7"/>
        <v>32</v>
      </c>
      <c r="N26" s="30">
        <f t="shared" si="7"/>
        <v>31</v>
      </c>
      <c r="O26" s="30">
        <f t="shared" si="7"/>
        <v>30</v>
      </c>
      <c r="P26" s="34">
        <f t="shared" si="7"/>
        <v>378</v>
      </c>
      <c r="R26" s="46">
        <f t="shared" ref="R26" si="8">+D26+E26+F26+G26+H26+I26+J26+K26+L26+M26+N26+O26</f>
        <v>378</v>
      </c>
    </row>
    <row r="27" spans="2:18" s="3" customFormat="1" ht="18" customHeight="1" thickBot="1">
      <c r="B27" s="258"/>
      <c r="C27" s="32" t="s">
        <v>156</v>
      </c>
      <c r="D27" s="37">
        <f>+(D26-'Producción Laminados 2016'!D26)/'Producción Laminados 2016'!D26</f>
        <v>-0.11641494959005293</v>
      </c>
      <c r="E27" s="37">
        <f>+(E26-'Producción Laminados 2016'!E26)/'Producción Laminados 2016'!E26</f>
        <v>-0.12843651490175287</v>
      </c>
      <c r="F27" s="37">
        <f>+(F26-'Producción Laminados 2016'!F26)/'Producción Laminados 2016'!F26</f>
        <v>-5.5463210876231094E-2</v>
      </c>
      <c r="G27" s="37">
        <f>+(G26-'Producción Laminados 2016'!G26)/'Producción Laminados 2016'!G26</f>
        <v>2.1017131947346446E-2</v>
      </c>
      <c r="H27" s="37">
        <f>+(H26-'Producción Laminados 2016'!H26)/'Producción Laminados 2016'!H26</f>
        <v>4.813011360450932E-3</v>
      </c>
      <c r="I27" s="37">
        <f>+(I26-'Producción Laminados 2016'!I26)/'Producción Laminados 2016'!I26</f>
        <v>6.6666666666666666E-2</v>
      </c>
      <c r="J27" s="37">
        <f>+(J26-'Producción Laminados 2016'!J26)/'Producción Laminados 2016'!J26</f>
        <v>6.4516129032258063E-2</v>
      </c>
      <c r="K27" s="37">
        <f>+(K26-'Producción Laminados 2016'!K26)/'Producción Laminados 2016'!K26</f>
        <v>-1.7706062293182005E-2</v>
      </c>
      <c r="L27" s="37">
        <f>+(L26-'Producción Laminados 2016'!L26)/'Producción Laminados 2016'!L26</f>
        <v>0</v>
      </c>
      <c r="M27" s="37">
        <f>+(M26-'Producción Laminados 2016'!M26)/'Producción Laminados 2016'!M26</f>
        <v>-7.3202845171764768E-3</v>
      </c>
      <c r="N27" s="37">
        <f>+(N26-'Producción Laminados 2016'!N26)/'Producción Laminados 2016'!N26</f>
        <v>6.8965517241379309E-2</v>
      </c>
      <c r="O27" s="37">
        <f>+(O26-'Producción Laminados 2016'!O26)/'Producción Laminados 2016'!O26</f>
        <v>-1.3547030096681666E-2</v>
      </c>
      <c r="P27" s="35">
        <f>+(P26-'Producción Laminados 2016'!R26)/'Producción Laminados 2016'!R26</f>
        <v>-1.115051914286954E-2</v>
      </c>
      <c r="R27" s="14">
        <f>+(R26-'Producción Laminados 2016'!S26)/'Producción Laminados 2016'!S26</f>
        <v>-1.115051914286954E-2</v>
      </c>
    </row>
    <row r="28" spans="2:18" s="3" customFormat="1" ht="18" customHeight="1" thickTop="1">
      <c r="B28" s="256" t="s">
        <v>9</v>
      </c>
      <c r="C28" s="31" t="s">
        <v>65</v>
      </c>
      <c r="D28" s="30">
        <v>9</v>
      </c>
      <c r="E28" s="30">
        <v>8</v>
      </c>
      <c r="F28" s="30">
        <v>7</v>
      </c>
      <c r="G28" s="30">
        <v>9</v>
      </c>
      <c r="H28" s="30">
        <v>9</v>
      </c>
      <c r="I28" s="30">
        <v>9.3000000000000007</v>
      </c>
      <c r="J28" s="30">
        <v>11</v>
      </c>
      <c r="K28" s="30">
        <v>11</v>
      </c>
      <c r="L28" s="30">
        <v>9</v>
      </c>
      <c r="M28" s="30">
        <v>10</v>
      </c>
      <c r="N28" s="30">
        <v>11</v>
      </c>
      <c r="O28" s="30">
        <v>11</v>
      </c>
      <c r="P28" s="34">
        <f>SUM(D28:O28)</f>
        <v>114.3</v>
      </c>
      <c r="R28" s="14"/>
    </row>
    <row r="29" spans="2:18" s="3" customFormat="1" ht="18" customHeight="1">
      <c r="B29" s="257"/>
      <c r="C29" s="29" t="s">
        <v>59</v>
      </c>
      <c r="D29" s="30"/>
      <c r="E29" s="30"/>
      <c r="F29" s="30"/>
      <c r="G29" s="30"/>
      <c r="H29" s="30"/>
      <c r="I29" s="30"/>
      <c r="J29" s="30"/>
      <c r="K29" s="34"/>
      <c r="L29" s="30"/>
      <c r="M29" s="34"/>
      <c r="N29" s="34"/>
      <c r="O29" s="30"/>
      <c r="P29" s="34">
        <f>SUM(D29:O29)</f>
        <v>0</v>
      </c>
      <c r="R29" s="14"/>
    </row>
    <row r="30" spans="2:18" s="3" customFormat="1" ht="18" customHeight="1">
      <c r="B30" s="257"/>
      <c r="C30" s="29" t="s">
        <v>60</v>
      </c>
      <c r="D30" s="30">
        <v>0</v>
      </c>
      <c r="E30" s="30">
        <v>0</v>
      </c>
      <c r="F30" s="30"/>
      <c r="G30" s="30"/>
      <c r="H30" s="30"/>
      <c r="I30" s="30"/>
      <c r="J30" s="30"/>
      <c r="K30" s="34"/>
      <c r="L30" s="30"/>
      <c r="M30" s="34"/>
      <c r="N30" s="34"/>
      <c r="O30" s="30"/>
      <c r="P30" s="34">
        <f>SUM(D30:O30)</f>
        <v>0</v>
      </c>
      <c r="R30" s="14"/>
    </row>
    <row r="31" spans="2:18" s="3" customFormat="1" ht="18" customHeight="1">
      <c r="B31" s="257"/>
      <c r="C31" s="29" t="s">
        <v>139</v>
      </c>
      <c r="D31" s="30">
        <f>+D28+D29+D30</f>
        <v>9</v>
      </c>
      <c r="E31" s="30">
        <f>+E28+E29+E30</f>
        <v>8</v>
      </c>
      <c r="F31" s="30">
        <f t="shared" ref="F31:P31" si="9">+F28+F29+F30</f>
        <v>7</v>
      </c>
      <c r="G31" s="30">
        <f t="shared" si="9"/>
        <v>9</v>
      </c>
      <c r="H31" s="30">
        <f t="shared" si="9"/>
        <v>9</v>
      </c>
      <c r="I31" s="30">
        <f t="shared" si="9"/>
        <v>9.3000000000000007</v>
      </c>
      <c r="J31" s="30">
        <f t="shared" si="9"/>
        <v>11</v>
      </c>
      <c r="K31" s="30">
        <f t="shared" si="9"/>
        <v>11</v>
      </c>
      <c r="L31" s="30">
        <f t="shared" si="9"/>
        <v>9</v>
      </c>
      <c r="M31" s="30">
        <f t="shared" si="9"/>
        <v>10</v>
      </c>
      <c r="N31" s="30">
        <f t="shared" si="9"/>
        <v>11</v>
      </c>
      <c r="O31" s="30">
        <f t="shared" si="9"/>
        <v>11</v>
      </c>
      <c r="P31" s="34">
        <f t="shared" si="9"/>
        <v>114.3</v>
      </c>
      <c r="R31" s="46">
        <f t="shared" ref="R31" si="10">+D31+E31+F31+G31+H31+I31+J31+K31+L31+M31+N31+O31</f>
        <v>114.3</v>
      </c>
    </row>
    <row r="32" spans="2:18" s="3" customFormat="1" ht="18" customHeight="1" thickBot="1">
      <c r="B32" s="258"/>
      <c r="C32" s="32" t="s">
        <v>156</v>
      </c>
      <c r="D32" s="37">
        <f>+(D31-'Producción Laminados 2016'!D31)/'Producción Laminados 2016'!D31</f>
        <v>0.42811805775944156</v>
      </c>
      <c r="E32" s="37">
        <f>+(E31-'Producción Laminados 2016'!E31)/'Producción Laminados 2016'!E31</f>
        <v>-0.41676126069969699</v>
      </c>
      <c r="F32" s="37">
        <f>+(F31-'Producción Laminados 2016'!F31)/'Producción Laminados 2016'!F31</f>
        <v>-0.42551846958120298</v>
      </c>
      <c r="G32" s="37">
        <f>+(G31-'Producción Laminados 2016'!G31)/'Producción Laminados 2016'!G31</f>
        <v>-0.16157947248443566</v>
      </c>
      <c r="H32" s="37">
        <f>+(H31-'Producción Laminados 2016'!H31)/'Producción Laminados 2016'!H31</f>
        <v>-0.26301756638573986</v>
      </c>
      <c r="I32" s="37">
        <f>+(I31-'Producción Laminados 2016'!I31)/'Producción Laminados 2016'!I31</f>
        <v>-0.20583706907765789</v>
      </c>
      <c r="J32" s="37">
        <f>+(J31-'Producción Laminados 2016'!J31)/'Producción Laminados 2016'!J31</f>
        <v>-4.7807928816813734E-2</v>
      </c>
      <c r="K32" s="37">
        <f>+(K31-'Producción Laminados 2016'!K31)/'Producción Laminados 2016'!K31</f>
        <v>-1.801464184096193E-2</v>
      </c>
      <c r="L32" s="37">
        <f>+(L31-'Producción Laminados 2016'!L31)/'Producción Laminados 2016'!L31</f>
        <v>0</v>
      </c>
      <c r="M32" s="37">
        <f>+(M31-'Producción Laminados 2016'!M31)/'Producción Laminados 2016'!M31</f>
        <v>-0.10936785610400976</v>
      </c>
      <c r="N32" s="37">
        <f>+(N31-'Producción Laminados 2016'!N31)/'Producción Laminados 2016'!N31</f>
        <v>0.1</v>
      </c>
      <c r="O32" s="37">
        <f>+(O31-'Producción Laminados 2016'!O31)/'Producción Laminados 2016'!O31</f>
        <v>9.1703774986752667E-2</v>
      </c>
      <c r="P32" s="35">
        <f>+(P31-'Producción Laminados 2016'!R31)/'Producción Laminados 2016'!R31</f>
        <v>-0.12021662040825228</v>
      </c>
      <c r="R32" s="14">
        <f>+(R31-'Producción Laminados 2016'!S31)/'Producción Laminados 2016'!S31</f>
        <v>-0.12021662040825228</v>
      </c>
    </row>
    <row r="33" spans="2:18" s="3" customFormat="1" ht="18" customHeight="1" thickTop="1">
      <c r="B33" s="256" t="s">
        <v>4</v>
      </c>
      <c r="C33" s="31" t="s">
        <v>65</v>
      </c>
      <c r="D33" s="30">
        <v>62</v>
      </c>
      <c r="E33" s="30">
        <v>60</v>
      </c>
      <c r="F33" s="30">
        <v>58</v>
      </c>
      <c r="G33" s="30">
        <v>61</v>
      </c>
      <c r="H33" s="30">
        <v>60</v>
      </c>
      <c r="I33" s="30">
        <v>59</v>
      </c>
      <c r="J33" s="30">
        <v>60</v>
      </c>
      <c r="K33" s="30">
        <v>58</v>
      </c>
      <c r="L33" s="30">
        <v>58</v>
      </c>
      <c r="M33" s="30">
        <v>57</v>
      </c>
      <c r="N33" s="30">
        <v>59</v>
      </c>
      <c r="O33" s="30">
        <v>58</v>
      </c>
      <c r="P33" s="34">
        <f>SUM(D33:O33)</f>
        <v>710</v>
      </c>
      <c r="R33" s="14"/>
    </row>
    <row r="34" spans="2:18" s="3" customFormat="1" ht="18" customHeight="1">
      <c r="B34" s="257"/>
      <c r="C34" s="29" t="s">
        <v>59</v>
      </c>
      <c r="D34" s="30"/>
      <c r="E34" s="30"/>
      <c r="F34" s="30"/>
      <c r="G34" s="30"/>
      <c r="H34" s="30"/>
      <c r="I34" s="30"/>
      <c r="J34" s="30"/>
      <c r="K34" s="30"/>
      <c r="L34" s="30"/>
      <c r="M34" s="34"/>
      <c r="N34" s="34"/>
      <c r="O34" s="30"/>
      <c r="P34" s="34">
        <f>SUM(D34:O34)</f>
        <v>0</v>
      </c>
      <c r="R34" s="14"/>
    </row>
    <row r="35" spans="2:18" s="3" customFormat="1" ht="18" customHeight="1">
      <c r="B35" s="257"/>
      <c r="C35" s="29" t="s">
        <v>60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4"/>
      <c r="O35" s="30"/>
      <c r="P35" s="34">
        <f>SUM(D35:O35)</f>
        <v>0</v>
      </c>
      <c r="R35" s="14"/>
    </row>
    <row r="36" spans="2:18" s="3" customFormat="1" ht="18" customHeight="1">
      <c r="B36" s="257"/>
      <c r="C36" s="29" t="s">
        <v>139</v>
      </c>
      <c r="D36" s="30">
        <f>+D33+D34+D35</f>
        <v>62</v>
      </c>
      <c r="E36" s="30">
        <f>+E33+E34+E35</f>
        <v>60</v>
      </c>
      <c r="F36" s="30">
        <f t="shared" ref="F36:P36" si="11">+F33+F34+F35</f>
        <v>58</v>
      </c>
      <c r="G36" s="30">
        <f t="shared" si="11"/>
        <v>61</v>
      </c>
      <c r="H36" s="30">
        <f t="shared" si="11"/>
        <v>60</v>
      </c>
      <c r="I36" s="30">
        <f t="shared" si="11"/>
        <v>59</v>
      </c>
      <c r="J36" s="30">
        <f t="shared" si="11"/>
        <v>60</v>
      </c>
      <c r="K36" s="30">
        <f t="shared" si="11"/>
        <v>58</v>
      </c>
      <c r="L36" s="30">
        <f t="shared" si="11"/>
        <v>58</v>
      </c>
      <c r="M36" s="30">
        <f t="shared" si="11"/>
        <v>57</v>
      </c>
      <c r="N36" s="30">
        <f t="shared" si="11"/>
        <v>59</v>
      </c>
      <c r="O36" s="30">
        <f t="shared" si="11"/>
        <v>58</v>
      </c>
      <c r="P36" s="34">
        <f t="shared" si="11"/>
        <v>710</v>
      </c>
      <c r="R36" s="46">
        <f t="shared" ref="R36" si="12">+D36+E36+F36+G36+H36+I36+J36+K36+L36+M36+N36+O36</f>
        <v>710</v>
      </c>
    </row>
    <row r="37" spans="2:18" s="3" customFormat="1" ht="18" customHeight="1" thickBot="1">
      <c r="B37" s="258"/>
      <c r="C37" s="32" t="s">
        <v>156</v>
      </c>
      <c r="D37" s="37">
        <f>+(D36-'Producción Laminados 2016'!D36)/'Producción Laminados 2016'!D36</f>
        <v>-2.9126213592233E-2</v>
      </c>
      <c r="E37" s="37">
        <f>+(E36-'Producción Laminados 2016'!E36)/'Producción Laminados 2016'!E36</f>
        <v>3.4482758620689655E-2</v>
      </c>
      <c r="F37" s="37">
        <f>+(F36-'Producción Laminados 2016'!F36)/'Producción Laminados 2016'!F36</f>
        <v>-8.2273253455241238E-2</v>
      </c>
      <c r="G37" s="37">
        <f>+(G36-'Producción Laminados 2016'!G36)/'Producción Laminados 2016'!G36</f>
        <v>6.0551215409078936E-2</v>
      </c>
      <c r="H37" s="37">
        <f>+(H36-'Producción Laminados 2016'!H36)/'Producción Laminados 2016'!H36</f>
        <v>8.2973585552266124E-2</v>
      </c>
      <c r="I37" s="37">
        <f>+(I36-'Producción Laminados 2016'!I36)/'Producción Laminados 2016'!I36</f>
        <v>1.0735995872085692E-2</v>
      </c>
      <c r="J37" s="37">
        <f>+(J36-'Producción Laminados 2016'!J36)/'Producción Laminados 2016'!J36</f>
        <v>3.2740289659425721E-2</v>
      </c>
      <c r="K37" s="37">
        <f>+(K36-'Producción Laminados 2016'!K36)/'Producción Laminados 2016'!K36</f>
        <v>1.261221726191665E-2</v>
      </c>
      <c r="L37" s="37">
        <f>+(L36-'Producción Laminados 2016'!L36)/'Producción Laminados 2016'!L36</f>
        <v>2.9514038805164414E-2</v>
      </c>
      <c r="M37" s="37">
        <f>+(M36-'Producción Laminados 2016'!M36)/'Producción Laminados 2016'!M36</f>
        <v>3.6363636363636362E-2</v>
      </c>
      <c r="N37" s="37">
        <f>+(N36-'Producción Laminados 2016'!N36)/'Producción Laminados 2016'!N36</f>
        <v>4.0285760273946737E-2</v>
      </c>
      <c r="O37" s="37">
        <f>+(O36-'Producción Laminados 2016'!O36)/'Producción Laminados 2016'!O36</f>
        <v>3.5391061570908974E-2</v>
      </c>
      <c r="P37" s="35">
        <f>+(P36-'Producción Laminados 2016'!R36)/'Producción Laminados 2016'!R36</f>
        <v>2.0410206323658513E-2</v>
      </c>
      <c r="R37" s="14">
        <f>+(R36-'Producción Laminados 2016'!S36)/'Producción Laminados 2016'!S36</f>
        <v>2.0410206323658513E-2</v>
      </c>
    </row>
    <row r="38" spans="2:18" s="3" customFormat="1" ht="18" customHeight="1" thickTop="1">
      <c r="B38" s="256" t="s">
        <v>10</v>
      </c>
      <c r="C38" s="31" t="s">
        <v>65</v>
      </c>
      <c r="D38" s="30">
        <v>7</v>
      </c>
      <c r="E38" s="30">
        <v>8</v>
      </c>
      <c r="F38" s="30">
        <v>6.3</v>
      </c>
      <c r="G38" s="30">
        <v>6.5</v>
      </c>
      <c r="H38" s="30">
        <v>8</v>
      </c>
      <c r="I38" s="30">
        <v>8</v>
      </c>
      <c r="J38" s="30">
        <v>8</v>
      </c>
      <c r="K38" s="30">
        <v>7</v>
      </c>
      <c r="L38" s="30">
        <v>8</v>
      </c>
      <c r="M38" s="30">
        <v>7</v>
      </c>
      <c r="N38" s="30">
        <v>8</v>
      </c>
      <c r="O38" s="30">
        <v>8</v>
      </c>
      <c r="P38" s="34">
        <f>SUM(D38:O38)</f>
        <v>89.8</v>
      </c>
      <c r="R38" s="14"/>
    </row>
    <row r="39" spans="2:18" s="3" customFormat="1" ht="18" customHeight="1">
      <c r="B39" s="257"/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4">
        <f>SUM(D39:O39)</f>
        <v>0</v>
      </c>
      <c r="R39" s="14"/>
    </row>
    <row r="40" spans="2:18" s="3" customFormat="1" ht="18" customHeight="1">
      <c r="B40" s="257"/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4">
        <f>SUM(D40:O40)</f>
        <v>0</v>
      </c>
      <c r="R40" s="14"/>
    </row>
    <row r="41" spans="2:18" s="3" customFormat="1" ht="18" customHeight="1">
      <c r="B41" s="257"/>
      <c r="C41" s="29" t="s">
        <v>139</v>
      </c>
      <c r="D41" s="30">
        <f>+D38+D39+D40</f>
        <v>7</v>
      </c>
      <c r="E41" s="30">
        <f>+E38+E39+E40</f>
        <v>8</v>
      </c>
      <c r="F41" s="30">
        <f t="shared" ref="F41:P41" si="13">+F38+F39+F40</f>
        <v>6.3</v>
      </c>
      <c r="G41" s="30">
        <f t="shared" si="13"/>
        <v>6.5</v>
      </c>
      <c r="H41" s="30">
        <f t="shared" si="13"/>
        <v>8</v>
      </c>
      <c r="I41" s="30">
        <f t="shared" si="13"/>
        <v>8</v>
      </c>
      <c r="J41" s="30">
        <f t="shared" si="13"/>
        <v>8</v>
      </c>
      <c r="K41" s="30">
        <f t="shared" si="13"/>
        <v>7</v>
      </c>
      <c r="L41" s="30">
        <f t="shared" si="13"/>
        <v>8</v>
      </c>
      <c r="M41" s="30">
        <f t="shared" si="13"/>
        <v>7</v>
      </c>
      <c r="N41" s="30">
        <f t="shared" si="13"/>
        <v>8</v>
      </c>
      <c r="O41" s="30">
        <f t="shared" si="13"/>
        <v>8</v>
      </c>
      <c r="P41" s="34">
        <f t="shared" si="13"/>
        <v>89.8</v>
      </c>
      <c r="R41" s="46">
        <f t="shared" ref="R41" si="14">+D41+E41+F41+G41+H41+I41+J41+K41+L41+M41+N41+O41</f>
        <v>89.8</v>
      </c>
    </row>
    <row r="42" spans="2:18" s="3" customFormat="1" ht="18" customHeight="1" thickBot="1">
      <c r="B42" s="258"/>
      <c r="C42" s="32" t="s">
        <v>156</v>
      </c>
      <c r="D42" s="37">
        <f>+(D41-'Producción Laminados 2016'!D41)/'Producción Laminados 2016'!D41</f>
        <v>-0.27681286797560217</v>
      </c>
      <c r="E42" s="37">
        <f>+(E41-'Producción Laminados 2016'!E41)/'Producción Laminados 2016'!E41</f>
        <v>-0.11285090905058429</v>
      </c>
      <c r="F42" s="37">
        <f>+(F41-'Producción Laminados 2016'!F41)/'Producción Laminados 2016'!F41</f>
        <v>-0.38489358221221537</v>
      </c>
      <c r="G42" s="37">
        <f>+(G41-'Producción Laminados 2016'!G41)/'Producción Laminados 2016'!G41</f>
        <v>-0.32617246880140072</v>
      </c>
      <c r="H42" s="37">
        <f>+(H41-'Producción Laminados 2016'!H41)/'Producción Laminados 2016'!H41</f>
        <v>0</v>
      </c>
      <c r="I42" s="37">
        <f>+(I41-'Producción Laminados 2016'!I41)/'Producción Laminados 2016'!I41</f>
        <v>-0.13943070887574419</v>
      </c>
      <c r="J42" s="37">
        <f>+(J41-'Producción Laminados 2016'!J41)/'Producción Laminados 2016'!J41</f>
        <v>0.14285714285714285</v>
      </c>
      <c r="K42" s="37">
        <f>+(K41-'Producción Laminados 2016'!K41)/'Producción Laminados 2016'!K41</f>
        <v>-0.22075914280656014</v>
      </c>
      <c r="L42" s="37">
        <f>+(L41-'Producción Laminados 2016'!L41)/'Producción Laminados 2016'!L41</f>
        <v>0</v>
      </c>
      <c r="M42" s="37">
        <f>+(M41-'Producción Laminados 2016'!M41)/'Producción Laminados 2016'!M41</f>
        <v>-0.19892478283968426</v>
      </c>
      <c r="N42" s="37">
        <f>+(N41-'Producción Laminados 2016'!N41)/'Producción Laminados 2016'!N41</f>
        <v>0.6</v>
      </c>
      <c r="O42" s="37">
        <f>+(O41-'Producción Laminados 2016'!O41)/'Producción Laminados 2016'!O41</f>
        <v>1.6666666666666667</v>
      </c>
      <c r="P42" s="35">
        <f>+(P41-'Producción Laminados 2016'!R41)/'Producción Laminados 2016'!R41</f>
        <v>-7.0422922419726919E-2</v>
      </c>
      <c r="R42" s="14">
        <f>+(R41-'Producción Laminados 2016'!S41)/'Producción Laminados 2016'!S41</f>
        <v>-7.0422922419726919E-2</v>
      </c>
    </row>
    <row r="43" spans="2:18" s="3" customFormat="1" ht="18" customHeight="1" thickTop="1">
      <c r="B43" s="256" t="s">
        <v>11</v>
      </c>
      <c r="C43" s="31" t="s">
        <v>65</v>
      </c>
      <c r="D43" s="30">
        <v>41</v>
      </c>
      <c r="E43" s="30">
        <v>37</v>
      </c>
      <c r="F43" s="30">
        <v>36.299999999999997</v>
      </c>
      <c r="G43" s="30">
        <v>34.1</v>
      </c>
      <c r="H43" s="30">
        <v>34</v>
      </c>
      <c r="I43" s="30">
        <v>37</v>
      </c>
      <c r="J43" s="30">
        <v>40</v>
      </c>
      <c r="K43" s="30">
        <v>39</v>
      </c>
      <c r="L43" s="30">
        <v>38</v>
      </c>
      <c r="M43" s="30">
        <v>35</v>
      </c>
      <c r="N43" s="30">
        <v>41</v>
      </c>
      <c r="O43" s="30">
        <v>42</v>
      </c>
      <c r="P43" s="34">
        <f>SUM(D43:O43)</f>
        <v>454.4</v>
      </c>
      <c r="R43" s="14"/>
    </row>
    <row r="44" spans="2:18" s="3" customFormat="1" ht="18" customHeight="1">
      <c r="B44" s="257"/>
      <c r="C44" s="29" t="s">
        <v>59</v>
      </c>
      <c r="D44" s="171"/>
      <c r="E44" s="30"/>
      <c r="F44" s="30"/>
      <c r="G44" s="30"/>
      <c r="H44" s="30"/>
      <c r="I44" s="30"/>
      <c r="J44" s="30"/>
      <c r="K44" s="30"/>
      <c r="L44" s="30"/>
      <c r="M44" s="30"/>
      <c r="N44" s="34"/>
      <c r="O44" s="30"/>
      <c r="P44" s="34">
        <f>SUM(D44:O44)</f>
        <v>0</v>
      </c>
      <c r="R44" s="14"/>
    </row>
    <row r="45" spans="2:18" s="3" customFormat="1" ht="18" customHeight="1">
      <c r="B45" s="257"/>
      <c r="C45" s="29" t="s">
        <v>60</v>
      </c>
      <c r="D45" s="30">
        <v>0</v>
      </c>
      <c r="E45" s="30">
        <v>0</v>
      </c>
      <c r="F45" s="30"/>
      <c r="G45" s="30"/>
      <c r="H45" s="30"/>
      <c r="I45" s="30"/>
      <c r="J45" s="30"/>
      <c r="K45" s="30"/>
      <c r="L45" s="30"/>
      <c r="M45" s="30"/>
      <c r="N45" s="34"/>
      <c r="O45" s="30"/>
      <c r="P45" s="34">
        <f>SUM(D45:O45)</f>
        <v>0</v>
      </c>
      <c r="R45" s="14"/>
    </row>
    <row r="46" spans="2:18" s="3" customFormat="1" ht="18" customHeight="1">
      <c r="B46" s="257"/>
      <c r="C46" s="29" t="s">
        <v>139</v>
      </c>
      <c r="D46" s="30">
        <f>+D43+D44+D45</f>
        <v>41</v>
      </c>
      <c r="E46" s="30">
        <f>+E43+E44+E45</f>
        <v>37</v>
      </c>
      <c r="F46" s="30">
        <f t="shared" ref="F46:P46" si="15">+F43+F44+F45</f>
        <v>36.299999999999997</v>
      </c>
      <c r="G46" s="30">
        <f t="shared" si="15"/>
        <v>34.1</v>
      </c>
      <c r="H46" s="30">
        <f t="shared" si="15"/>
        <v>34</v>
      </c>
      <c r="I46" s="30">
        <f t="shared" si="15"/>
        <v>37</v>
      </c>
      <c r="J46" s="30">
        <f t="shared" si="15"/>
        <v>40</v>
      </c>
      <c r="K46" s="30">
        <f t="shared" si="15"/>
        <v>39</v>
      </c>
      <c r="L46" s="30">
        <f t="shared" si="15"/>
        <v>38</v>
      </c>
      <c r="M46" s="30">
        <f t="shared" si="15"/>
        <v>35</v>
      </c>
      <c r="N46" s="30">
        <f t="shared" si="15"/>
        <v>41</v>
      </c>
      <c r="O46" s="30">
        <f t="shared" si="15"/>
        <v>42</v>
      </c>
      <c r="P46" s="34">
        <f t="shared" si="15"/>
        <v>454.4</v>
      </c>
      <c r="R46" s="46">
        <f t="shared" ref="R46" si="16">+D46+E46+F46+G46+H46+I46+J46+K46+L46+M46+N46+O46</f>
        <v>454.4</v>
      </c>
    </row>
    <row r="47" spans="2:18" s="3" customFormat="1" ht="18" customHeight="1" thickBot="1">
      <c r="B47" s="258"/>
      <c r="C47" s="32" t="s">
        <v>156</v>
      </c>
      <c r="D47" s="37">
        <f>+(D46-'Producción Laminados 2016'!D46)/'Producción Laminados 2016'!D46</f>
        <v>7.2023086670843964E-2</v>
      </c>
      <c r="E47" s="37">
        <f>+(E46-'Producción Laminados 2016'!E46)/'Producción Laminados 2016'!E46</f>
        <v>-7.8632887181853059E-2</v>
      </c>
      <c r="F47" s="37">
        <f>+(F46-'Producción Laminados 2016'!F46)/'Producción Laminados 2016'!F46</f>
        <v>-0.13911987575101872</v>
      </c>
      <c r="G47" s="37">
        <f>+(G46-'Producción Laminados 2016'!G46)/'Producción Laminados 2016'!G46</f>
        <v>-0.15152538788243192</v>
      </c>
      <c r="H47" s="37">
        <f>+(H46-'Producción Laminados 2016'!H46)/'Producción Laminados 2016'!H46</f>
        <v>-0.1674396234835327</v>
      </c>
      <c r="I47" s="37">
        <f>+(I46-'Producción Laminados 2016'!I46)/'Producción Laminados 2016'!I46</f>
        <v>2.7777777777777776E-2</v>
      </c>
      <c r="J47" s="37">
        <f>+(J46-'Producción Laminados 2016'!J46)/'Producción Laminados 2016'!J46</f>
        <v>2.5398701353543798E-2</v>
      </c>
      <c r="K47" s="37">
        <f>+(K46-'Producción Laminados 2016'!K46)/'Producción Laminados 2016'!K46</f>
        <v>-1.303722854985199E-2</v>
      </c>
      <c r="L47" s="37">
        <f>+(L46-'Producción Laminados 2016'!L46)/'Producción Laminados 2016'!L46</f>
        <v>0</v>
      </c>
      <c r="M47" s="37">
        <f>+(M46-'Producción Laminados 2016'!M46)/'Producción Laminados 2016'!M46</f>
        <v>-0.11141152732781021</v>
      </c>
      <c r="N47" s="37">
        <f>+(N46-'Producción Laminados 2016'!N46)/'Producción Laminados 2016'!N46</f>
        <v>0</v>
      </c>
      <c r="O47" s="37">
        <f>+(O46-'Producción Laminados 2016'!O46)/'Producción Laminados 2016'!O46</f>
        <v>6.4294252303015095E-2</v>
      </c>
      <c r="P47" s="35">
        <f>+(P46-'Producción Laminados 2016'!R46)/'Producción Laminados 2016'!R46</f>
        <v>-4.1294446072469404E-2</v>
      </c>
      <c r="R47" s="14">
        <f>+(R46-'Producción Laminados 2016'!S46)/'Producción Laminados 2016'!S46</f>
        <v>-4.1294446072469404E-2</v>
      </c>
    </row>
    <row r="48" spans="2:18" ht="18" customHeight="1" thickTop="1">
      <c r="B48" s="256" t="s">
        <v>43</v>
      </c>
      <c r="C48" s="31" t="s">
        <v>65</v>
      </c>
      <c r="D48" s="171">
        <v>721.46600000000001</v>
      </c>
      <c r="E48" s="171">
        <v>728.67700000000002</v>
      </c>
      <c r="F48" s="171">
        <v>795.76199999999994</v>
      </c>
      <c r="G48" s="171">
        <v>708.74099999999999</v>
      </c>
      <c r="H48" s="171">
        <v>781.654</v>
      </c>
      <c r="I48" s="171">
        <v>752.07100000000003</v>
      </c>
      <c r="J48" s="171">
        <v>726.43499999999995</v>
      </c>
      <c r="K48" s="171">
        <v>722.79899999999998</v>
      </c>
      <c r="L48" s="171">
        <v>726.31</v>
      </c>
      <c r="M48" s="171">
        <v>686.25300000000004</v>
      </c>
      <c r="N48" s="171">
        <v>694.70699999999999</v>
      </c>
      <c r="O48" s="171">
        <v>686.30399999999997</v>
      </c>
      <c r="P48" s="34">
        <f>SUM(D48:O48)</f>
        <v>8731.1790000000001</v>
      </c>
      <c r="R48" s="14"/>
    </row>
    <row r="49" spans="2:19" ht="18" customHeight="1">
      <c r="B49" s="257"/>
      <c r="C49" s="29" t="s">
        <v>59</v>
      </c>
      <c r="D49" s="171">
        <v>789.44500000000005</v>
      </c>
      <c r="E49" s="171">
        <v>676.11</v>
      </c>
      <c r="F49" s="171">
        <v>677.64300000000003</v>
      </c>
      <c r="G49" s="171">
        <v>768.09400000000005</v>
      </c>
      <c r="H49" s="171">
        <v>766.75300000000004</v>
      </c>
      <c r="I49" s="171">
        <v>771.56100000000004</v>
      </c>
      <c r="J49" s="171">
        <v>792.11699999999996</v>
      </c>
      <c r="K49" s="171">
        <v>753.55899999999997</v>
      </c>
      <c r="L49" s="171">
        <v>720.36199999999997</v>
      </c>
      <c r="M49" s="171">
        <v>792.86199999999997</v>
      </c>
      <c r="N49" s="171">
        <v>749.31200000000001</v>
      </c>
      <c r="O49" s="171">
        <v>765.32299999999998</v>
      </c>
      <c r="P49" s="34">
        <f>SUM(D49:O49)</f>
        <v>9023.1410000000014</v>
      </c>
      <c r="R49" s="14"/>
    </row>
    <row r="50" spans="2:19" ht="18" customHeight="1">
      <c r="B50" s="257"/>
      <c r="C50" s="29" t="s">
        <v>60</v>
      </c>
      <c r="D50" s="171">
        <v>85.635999999999996</v>
      </c>
      <c r="E50" s="171">
        <v>78.55</v>
      </c>
      <c r="F50" s="171">
        <v>94.69</v>
      </c>
      <c r="G50" s="171">
        <v>75.138999999999996</v>
      </c>
      <c r="H50" s="171">
        <v>62.356000000000002</v>
      </c>
      <c r="I50" s="171">
        <v>86.912000000000006</v>
      </c>
      <c r="J50" s="171">
        <v>66.049000000000007</v>
      </c>
      <c r="K50" s="171">
        <v>73.033000000000001</v>
      </c>
      <c r="L50" s="171">
        <v>73.492000000000004</v>
      </c>
      <c r="M50" s="171">
        <v>82.992999999999995</v>
      </c>
      <c r="N50" s="171">
        <v>73.432000000000002</v>
      </c>
      <c r="O50" s="171">
        <v>86.918999999999997</v>
      </c>
      <c r="P50" s="34">
        <f>SUM(D50:O50)</f>
        <v>939.20099999999991</v>
      </c>
      <c r="R50" s="14"/>
    </row>
    <row r="51" spans="2:19" ht="18" customHeight="1">
      <c r="B51" s="257"/>
      <c r="C51" s="29" t="s">
        <v>139</v>
      </c>
      <c r="D51" s="171">
        <f>+D48+D49+D50</f>
        <v>1596.547</v>
      </c>
      <c r="E51" s="171">
        <f>+E48+E49+E50</f>
        <v>1483.337</v>
      </c>
      <c r="F51" s="171">
        <f t="shared" ref="F51:P51" si="17">+F48+F49+F50</f>
        <v>1568.095</v>
      </c>
      <c r="G51" s="171">
        <f t="shared" si="17"/>
        <v>1551.9739999999999</v>
      </c>
      <c r="H51" s="171">
        <f t="shared" si="17"/>
        <v>1610.7630000000001</v>
      </c>
      <c r="I51" s="171">
        <f t="shared" si="17"/>
        <v>1610.5440000000001</v>
      </c>
      <c r="J51" s="34">
        <f t="shared" si="17"/>
        <v>1584.6009999999999</v>
      </c>
      <c r="K51" s="34">
        <f t="shared" si="17"/>
        <v>1549.3909999999998</v>
      </c>
      <c r="L51" s="34">
        <f t="shared" si="17"/>
        <v>1520.164</v>
      </c>
      <c r="M51" s="34">
        <f t="shared" si="17"/>
        <v>1562.1079999999999</v>
      </c>
      <c r="N51" s="34">
        <f t="shared" si="17"/>
        <v>1517.451</v>
      </c>
      <c r="O51" s="34">
        <f t="shared" si="17"/>
        <v>1538.546</v>
      </c>
      <c r="P51" s="34">
        <f t="shared" si="17"/>
        <v>18693.521000000001</v>
      </c>
      <c r="Q51" s="4" t="s">
        <v>17</v>
      </c>
      <c r="R51" s="46">
        <f t="shared" ref="R51" si="18">+D51+E51+F51+G51+H51+I51+J51+K51+L51+M51+N51+O51</f>
        <v>18693.521000000001</v>
      </c>
      <c r="S51" s="14">
        <f>+R51/R81</f>
        <v>0.35345973800850095</v>
      </c>
    </row>
    <row r="52" spans="2:19" ht="18" customHeight="1" thickBot="1">
      <c r="B52" s="258"/>
      <c r="C52" s="32" t="s">
        <v>156</v>
      </c>
      <c r="D52" s="35">
        <f>+(D51-'Producción Laminados 2016'!D51)/'Producción Laminados 2016'!D51</f>
        <v>3.827219424385582E-2</v>
      </c>
      <c r="E52" s="35">
        <f>+(E51-'Producción Laminados 2016'!E51)/'Producción Laminados 2016'!E51</f>
        <v>-6.8906000084359258E-3</v>
      </c>
      <c r="F52" s="35">
        <f>+(F51-'Producción Laminados 2016'!F51)/'Producción Laminados 2016'!F51</f>
        <v>2.6909556229060386E-2</v>
      </c>
      <c r="G52" s="35">
        <f>+(G51-'Producción Laminados 2016'!G51)/'Producción Laminados 2016'!G51</f>
        <v>-9.9409463260347677E-3</v>
      </c>
      <c r="H52" s="35">
        <f>+(H51-'Producción Laminados 2016'!H51)/'Producción Laminados 2016'!H51</f>
        <v>9.7390528119195938E-3</v>
      </c>
      <c r="I52" s="35">
        <f>+(I51-'Producción Laminados 2016'!I51)/'Producción Laminados 2016'!I51</f>
        <v>-1.1525645927787183E-2</v>
      </c>
      <c r="J52" s="35">
        <f>+(J51-'Producción Laminados 2016'!J51)/'Producción Laminados 2016'!J51</f>
        <v>-2.570271593035945E-2</v>
      </c>
      <c r="K52" s="35">
        <f>+(K51-'Producción Laminados 2016'!K51)/'Producción Laminados 2016'!K51</f>
        <v>-2.4141521085883574E-2</v>
      </c>
      <c r="L52" s="35">
        <f>+(L51-'Producción Laminados 2016'!L51)/'Producción Laminados 2016'!L51</f>
        <v>1.6558758113202968E-2</v>
      </c>
      <c r="M52" s="35">
        <f>+(M51-'Producción Laminados 2016'!M51)/'Producción Laminados 2016'!M51</f>
        <v>-2.4134447733893265E-2</v>
      </c>
      <c r="N52" s="35">
        <f>+(N51-'Producción Laminados 2016'!N51)/'Producción Laminados 2016'!N51</f>
        <v>-2.9579127507507769E-2</v>
      </c>
      <c r="O52" s="35">
        <f>+(O51-'Producción Laminados 2016'!O51)/'Producción Laminados 2016'!O51</f>
        <v>4.5035364406555083E-2</v>
      </c>
      <c r="P52" s="35">
        <f>+(P51-'Producción Laminados 2016'!R51)/'Producción Laminados 2016'!R51</f>
        <v>-1.67409660692569E-4</v>
      </c>
      <c r="R52" s="14">
        <f>+(R51-'Producción Laminados 2016'!S51)/'Producción Laminados 2016'!S51</f>
        <v>-1.67409660692569E-4</v>
      </c>
    </row>
    <row r="53" spans="2:19" s="3" customFormat="1" ht="18" customHeight="1" thickTop="1">
      <c r="B53" s="256" t="s">
        <v>6</v>
      </c>
      <c r="C53" s="31" t="s">
        <v>65</v>
      </c>
      <c r="D53" s="30">
        <v>2</v>
      </c>
      <c r="E53" s="30">
        <v>1</v>
      </c>
      <c r="F53" s="30">
        <v>0.4</v>
      </c>
      <c r="G53" s="30">
        <v>4.0999999999999996</v>
      </c>
      <c r="H53" s="30">
        <v>1.9</v>
      </c>
      <c r="I53" s="30">
        <v>2</v>
      </c>
      <c r="J53" s="30">
        <v>1.6</v>
      </c>
      <c r="K53" s="30">
        <v>2</v>
      </c>
      <c r="L53" s="30">
        <v>1.7</v>
      </c>
      <c r="M53" s="30">
        <v>1.6</v>
      </c>
      <c r="N53" s="30">
        <v>1.6</v>
      </c>
      <c r="O53" s="30">
        <v>1.5</v>
      </c>
      <c r="P53" s="34">
        <f>SUM(D53:O53)</f>
        <v>21.400000000000002</v>
      </c>
      <c r="R53" s="14"/>
    </row>
    <row r="54" spans="2:19" s="3" customFormat="1" ht="18" customHeight="1">
      <c r="B54" s="257"/>
      <c r="C54" s="29" t="s">
        <v>59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4"/>
      <c r="O54" s="30"/>
      <c r="P54" s="34">
        <f>SUM(D54:O54)</f>
        <v>0</v>
      </c>
      <c r="R54" s="14"/>
    </row>
    <row r="55" spans="2:19" s="3" customFormat="1" ht="18" customHeight="1">
      <c r="B55" s="257"/>
      <c r="C55" s="29" t="s">
        <v>60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4"/>
      <c r="O55" s="30"/>
      <c r="P55" s="34">
        <f>SUM(D55:O55)</f>
        <v>0</v>
      </c>
      <c r="R55" s="14"/>
    </row>
    <row r="56" spans="2:19" s="3" customFormat="1" ht="18" customHeight="1">
      <c r="B56" s="257"/>
      <c r="C56" s="29" t="s">
        <v>139</v>
      </c>
      <c r="D56" s="30">
        <f>+D53+D54+D55</f>
        <v>2</v>
      </c>
      <c r="E56" s="30">
        <f>+E53+E54+E55</f>
        <v>1</v>
      </c>
      <c r="F56" s="30">
        <f t="shared" ref="F56:O56" si="19">+F53+F54+F55</f>
        <v>0.4</v>
      </c>
      <c r="G56" s="30">
        <f t="shared" si="19"/>
        <v>4.0999999999999996</v>
      </c>
      <c r="H56" s="30">
        <f t="shared" si="19"/>
        <v>1.9</v>
      </c>
      <c r="I56" s="30">
        <f t="shared" si="19"/>
        <v>2</v>
      </c>
      <c r="J56" s="30">
        <f t="shared" si="19"/>
        <v>1.6</v>
      </c>
      <c r="K56" s="30">
        <f t="shared" si="19"/>
        <v>2</v>
      </c>
      <c r="L56" s="30">
        <f t="shared" si="19"/>
        <v>1.7</v>
      </c>
      <c r="M56" s="30">
        <f t="shared" si="19"/>
        <v>1.6</v>
      </c>
      <c r="N56" s="30">
        <f t="shared" si="19"/>
        <v>1.6</v>
      </c>
      <c r="O56" s="30">
        <f t="shared" si="19"/>
        <v>1.5</v>
      </c>
      <c r="P56" s="34">
        <f>+P53+P54+P55</f>
        <v>21.400000000000002</v>
      </c>
      <c r="R56" s="46">
        <f t="shared" ref="R56" si="20">+D56+E56+F56+G56+H56+I56+J56+K56+L56+M56+N56+O56</f>
        <v>21.400000000000002</v>
      </c>
    </row>
    <row r="57" spans="2:19" s="3" customFormat="1" ht="18" customHeight="1" thickBot="1">
      <c r="B57" s="258"/>
      <c r="C57" s="32" t="s">
        <v>156</v>
      </c>
      <c r="D57" s="37">
        <f>+(D56-'Producción Laminados 2016'!D56)/'Producción Laminados 2016'!D56</f>
        <v>0.52399150585881438</v>
      </c>
      <c r="E57" s="37">
        <f>+(E56-'Producción Laminados 2016'!E56)/'Producción Laminados 2016'!E56</f>
        <v>-0.39435102391568594</v>
      </c>
      <c r="F57" s="37">
        <f>+(F56-'Producción Laminados 2016'!F56)/'Producción Laminados 2016'!F56</f>
        <v>-0.7692241433985223</v>
      </c>
      <c r="G57" s="37">
        <f>+(G56-'Producción Laminados 2016'!G56)/'Producción Laminados 2016'!G56</f>
        <v>1.6188331390757178</v>
      </c>
      <c r="H57" s="37">
        <f>+(H56-'Producción Laminados 2016'!H56)/'Producción Laminados 2016'!H56</f>
        <v>0.15151800207353935</v>
      </c>
      <c r="I57" s="37">
        <f>+(I56-'Producción Laminados 2016'!I56)/'Producción Laminados 2016'!I56</f>
        <v>0.21239988344192248</v>
      </c>
      <c r="J57" s="37">
        <f>+(J56-'Producción Laminados 2016'!J56)/'Producción Laminados 2016'!J56</f>
        <v>-1.3401180599481741E-2</v>
      </c>
      <c r="K57" s="37">
        <f>+(K56-'Producción Laminados 2016'!K56)/'Producción Laminados 2016'!K56</f>
        <v>0.21917771421358476</v>
      </c>
      <c r="L57" s="37">
        <f>+(L56-'Producción Laminados 2016'!L56)/'Producción Laminados 2016'!L56</f>
        <v>0.7</v>
      </c>
      <c r="M57" s="37">
        <f>+(M56-'Producción Laminados 2016'!M56)/'Producción Laminados 2016'!M56</f>
        <v>-0.46666666666666662</v>
      </c>
      <c r="N57" s="37">
        <f>+(N56-'Producción Laminados 2016'!N56)/'Producción Laminados 2016'!N56</f>
        <v>0.60000000000000009</v>
      </c>
      <c r="O57" s="37">
        <f>+(O56-'Producción Laminados 2016'!O56)/'Producción Laminados 2016'!O56</f>
        <v>-0.10000000000000003</v>
      </c>
      <c r="P57" s="35">
        <f>+(P56-'Producción Laminados 2016'!R56)/'Producción Laminados 2016'!R56</f>
        <v>9.7954051860696598E-2</v>
      </c>
      <c r="R57" s="14">
        <f>+(R56-'Producción Laminados 2016'!S56)/'Producción Laminados 2016'!S56</f>
        <v>9.7954051860696598E-2</v>
      </c>
    </row>
    <row r="58" spans="2:19" s="3" customFormat="1" ht="18" customHeight="1" thickTop="1">
      <c r="B58" s="262" t="s">
        <v>44</v>
      </c>
      <c r="C58" s="31" t="s">
        <v>65</v>
      </c>
      <c r="D58" s="34">
        <v>118.61390795500009</v>
      </c>
      <c r="E58" s="34">
        <v>99.403999999999996</v>
      </c>
      <c r="F58" s="34">
        <v>120.8454864520002</v>
      </c>
      <c r="G58" s="34">
        <v>126.973</v>
      </c>
      <c r="H58" s="34">
        <v>130.94800000000001</v>
      </c>
      <c r="I58" s="34">
        <v>115.4575624950001</v>
      </c>
      <c r="J58" s="34">
        <v>122.47590933700019</v>
      </c>
      <c r="K58" s="34">
        <v>131.64013212300011</v>
      </c>
      <c r="L58" s="34">
        <v>122.2105411090001</v>
      </c>
      <c r="M58" s="34">
        <v>127.6862880610001</v>
      </c>
      <c r="N58" s="34">
        <v>122.25205380900009</v>
      </c>
      <c r="O58" s="34">
        <v>123.2609990820001</v>
      </c>
      <c r="P58" s="34">
        <f>SUM(D58:O58)</f>
        <v>1461.7678804230011</v>
      </c>
      <c r="R58" s="14"/>
    </row>
    <row r="59" spans="2:19" s="3" customFormat="1" ht="18" customHeight="1">
      <c r="B59" s="263"/>
      <c r="C59" s="29" t="s">
        <v>59</v>
      </c>
      <c r="D59" s="34">
        <v>5.8495018549999909</v>
      </c>
      <c r="E59" s="34">
        <v>4.6319999999999997</v>
      </c>
      <c r="F59" s="34">
        <v>3.4234548550000099</v>
      </c>
      <c r="G59" s="34">
        <v>4.7359999999999998</v>
      </c>
      <c r="H59" s="34">
        <v>4.843</v>
      </c>
      <c r="I59" s="34">
        <v>4.867989487</v>
      </c>
      <c r="J59" s="34">
        <v>3.1170719029999998</v>
      </c>
      <c r="K59" s="34">
        <v>4.1271004800000002</v>
      </c>
      <c r="L59" s="34">
        <v>5.1583964910000004</v>
      </c>
      <c r="M59" s="34">
        <v>5.4201211320000002</v>
      </c>
      <c r="N59" s="34">
        <v>5.2180466210000001</v>
      </c>
      <c r="O59" s="34">
        <v>3.6824445589999999</v>
      </c>
      <c r="P59" s="34">
        <f>SUM(D59:O59)</f>
        <v>55.075127382999995</v>
      </c>
      <c r="R59" s="14"/>
    </row>
    <row r="60" spans="2:19" s="3" customFormat="1" ht="18" customHeight="1">
      <c r="B60" s="263"/>
      <c r="C60" s="29" t="s">
        <v>60</v>
      </c>
      <c r="D60" s="34"/>
      <c r="E60" s="34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4">
        <f>SUM(D60:O60)</f>
        <v>0</v>
      </c>
      <c r="R60" s="14"/>
    </row>
    <row r="61" spans="2:19" s="3" customFormat="1" ht="18" customHeight="1">
      <c r="B61" s="263"/>
      <c r="C61" s="29" t="s">
        <v>139</v>
      </c>
      <c r="D61" s="171">
        <f>+D58+D59+D60</f>
        <v>124.46340981000007</v>
      </c>
      <c r="E61" s="171">
        <f>+E58+E59+E60</f>
        <v>104.036</v>
      </c>
      <c r="F61" s="171">
        <f t="shared" ref="F61:O61" si="21">+F58+F59+F60</f>
        <v>124.2689413070002</v>
      </c>
      <c r="G61" s="171">
        <f t="shared" si="21"/>
        <v>131.709</v>
      </c>
      <c r="H61" s="171">
        <f t="shared" si="21"/>
        <v>135.791</v>
      </c>
      <c r="I61" s="171">
        <f t="shared" si="21"/>
        <v>120.32555198200011</v>
      </c>
      <c r="J61" s="34">
        <f t="shared" si="21"/>
        <v>125.59298124000019</v>
      </c>
      <c r="K61" s="34">
        <f t="shared" si="21"/>
        <v>135.76723260300011</v>
      </c>
      <c r="L61" s="34">
        <f t="shared" si="21"/>
        <v>127.36893760000011</v>
      </c>
      <c r="M61" s="34">
        <f t="shared" si="21"/>
        <v>133.1064091930001</v>
      </c>
      <c r="N61" s="34">
        <f t="shared" si="21"/>
        <v>127.47010043000009</v>
      </c>
      <c r="O61" s="34">
        <f t="shared" si="21"/>
        <v>126.9434436410001</v>
      </c>
      <c r="P61" s="34">
        <f>+P58+P59+P60</f>
        <v>1516.843007806001</v>
      </c>
      <c r="R61" s="46">
        <f t="shared" ref="R61" si="22">+D61+E61+F61+G61+H61+I61+J61+K61+L61+M61+N61+O61</f>
        <v>1516.843007806001</v>
      </c>
    </row>
    <row r="62" spans="2:19" s="3" customFormat="1" ht="18" customHeight="1" thickBot="1">
      <c r="B62" s="264"/>
      <c r="C62" s="32" t="s">
        <v>156</v>
      </c>
      <c r="D62" s="35">
        <f>+(D61-'Producción Laminados 2016'!D61)/'Producción Laminados 2016'!D61</f>
        <v>6.9312378854409384E-2</v>
      </c>
      <c r="E62" s="35">
        <f>+(E61-'Producción Laminados 2016'!E61)/'Producción Laminados 2016'!E61</f>
        <v>-0.13301177419721824</v>
      </c>
      <c r="F62" s="35">
        <f>+(F61-'Producción Laminados 2016'!F61)/'Producción Laminados 2016'!F61</f>
        <v>-1.4398864872388719E-2</v>
      </c>
      <c r="G62" s="35">
        <f>+(G61-'Producción Laminados 2016'!G61)/'Producción Laminados 2016'!G61</f>
        <v>2.1987759258078034E-2</v>
      </c>
      <c r="H62" s="35">
        <f>+(H61-'Producción Laminados 2016'!H61)/'Producción Laminados 2016'!H61</f>
        <v>0.13034111322030456</v>
      </c>
      <c r="I62" s="35">
        <f>+(I61-'Producción Laminados 2016'!I61)/'Producción Laminados 2016'!I61</f>
        <v>-0.12936256592819473</v>
      </c>
      <c r="J62" s="35">
        <f>+(J61-'Producción Laminados 2016'!J61)/'Producción Laminados 2016'!J61</f>
        <v>0.15315720558012066</v>
      </c>
      <c r="K62" s="35">
        <f>+(K61-'Producción Laminados 2016'!K61)/'Producción Laminados 2016'!K61</f>
        <v>0.1195904251029879</v>
      </c>
      <c r="L62" s="35">
        <f>+(L61-'Producción Laminados 2016'!L61)/'Producción Laminados 2016'!L61</f>
        <v>0.29354437124940957</v>
      </c>
      <c r="M62" s="35">
        <f>+(M61-'Producción Laminados 2016'!M61)/'Producción Laminados 2016'!M61</f>
        <v>0.1018563680581528</v>
      </c>
      <c r="N62" s="35">
        <f>+(N61-'Producción Laminados 2016'!N61)/'Producción Laminados 2016'!N61</f>
        <v>0.12845571438319273</v>
      </c>
      <c r="O62" s="35">
        <f>+(O61-'Producción Laminados 2016'!O61)/'Producción Laminados 2016'!O61</f>
        <v>0.20876582229686788</v>
      </c>
      <c r="P62" s="35">
        <f>+(P61-'Producción Laminados 2016'!R61)/'Producción Laminados 2016'!R61</f>
        <v>7.0375891294331902E-2</v>
      </c>
      <c r="R62" s="14">
        <f>+(R61-'Producción Laminados 2016'!S61)/'Producción Laminados 2016'!S61</f>
        <v>7.0375891294331902E-2</v>
      </c>
    </row>
    <row r="63" spans="2:19" s="3" customFormat="1" ht="18" customHeight="1" thickTop="1">
      <c r="B63" s="262" t="s">
        <v>64</v>
      </c>
      <c r="C63" s="31" t="s">
        <v>65</v>
      </c>
      <c r="D63" s="30">
        <v>33</v>
      </c>
      <c r="E63" s="30">
        <v>35</v>
      </c>
      <c r="F63" s="30">
        <v>36</v>
      </c>
      <c r="G63" s="30">
        <v>33.5</v>
      </c>
      <c r="H63" s="30">
        <v>32</v>
      </c>
      <c r="I63" s="30">
        <v>35</v>
      </c>
      <c r="J63" s="30">
        <v>38</v>
      </c>
      <c r="K63" s="30">
        <v>37</v>
      </c>
      <c r="L63" s="30">
        <v>35</v>
      </c>
      <c r="M63" s="30">
        <v>34</v>
      </c>
      <c r="N63" s="30">
        <v>36</v>
      </c>
      <c r="O63" s="30">
        <v>32</v>
      </c>
      <c r="P63" s="34">
        <f>SUM(D63:O63)</f>
        <v>416.5</v>
      </c>
      <c r="R63" s="14"/>
    </row>
    <row r="64" spans="2:19" s="3" customFormat="1" ht="18" customHeight="1">
      <c r="B64" s="263"/>
      <c r="C64" s="29" t="s">
        <v>59</v>
      </c>
      <c r="D64" s="30">
        <v>4</v>
      </c>
      <c r="E64" s="30">
        <v>3</v>
      </c>
      <c r="F64" s="30">
        <v>4.2</v>
      </c>
      <c r="G64" s="30">
        <v>5</v>
      </c>
      <c r="H64" s="30">
        <v>5</v>
      </c>
      <c r="I64" s="30">
        <v>5</v>
      </c>
      <c r="J64" s="30">
        <v>5.2</v>
      </c>
      <c r="K64" s="30">
        <v>5</v>
      </c>
      <c r="L64" s="30">
        <v>4</v>
      </c>
      <c r="M64" s="30">
        <v>4</v>
      </c>
      <c r="N64" s="30">
        <v>5</v>
      </c>
      <c r="O64" s="30">
        <v>5</v>
      </c>
      <c r="P64" s="34">
        <f>SUM(D64:O64)</f>
        <v>54.4</v>
      </c>
      <c r="R64" s="14"/>
    </row>
    <row r="65" spans="2:19" s="3" customFormat="1" ht="18" customHeight="1">
      <c r="B65" s="263"/>
      <c r="C65" s="29" t="s">
        <v>60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4">
        <f>SUM(D65:O65)</f>
        <v>0</v>
      </c>
      <c r="R65" s="14"/>
    </row>
    <row r="66" spans="2:19" s="3" customFormat="1" ht="18" customHeight="1">
      <c r="B66" s="263"/>
      <c r="C66" s="29" t="s">
        <v>139</v>
      </c>
      <c r="D66" s="30">
        <f>+D63+D64+D65</f>
        <v>37</v>
      </c>
      <c r="E66" s="30">
        <f>+E63+E64+E65</f>
        <v>38</v>
      </c>
      <c r="F66" s="30">
        <f t="shared" ref="F66:O66" si="23">+F63+F64+F65</f>
        <v>40.200000000000003</v>
      </c>
      <c r="G66" s="30">
        <f t="shared" si="23"/>
        <v>38.5</v>
      </c>
      <c r="H66" s="30">
        <f t="shared" si="23"/>
        <v>37</v>
      </c>
      <c r="I66" s="30">
        <f t="shared" si="23"/>
        <v>40</v>
      </c>
      <c r="J66" s="30">
        <f t="shared" si="23"/>
        <v>43.2</v>
      </c>
      <c r="K66" s="30">
        <f t="shared" si="23"/>
        <v>42</v>
      </c>
      <c r="L66" s="30">
        <f t="shared" si="23"/>
        <v>39</v>
      </c>
      <c r="M66" s="30">
        <f t="shared" si="23"/>
        <v>38</v>
      </c>
      <c r="N66" s="30">
        <f t="shared" si="23"/>
        <v>41</v>
      </c>
      <c r="O66" s="30">
        <f t="shared" si="23"/>
        <v>37</v>
      </c>
      <c r="P66" s="34">
        <f>+P63+P64+P65</f>
        <v>470.9</v>
      </c>
      <c r="R66" s="46">
        <f t="shared" ref="R66" si="24">+D66+E66+F66+G66+H66+I66+J66+K66+L66+M66+N66+O66</f>
        <v>470.9</v>
      </c>
    </row>
    <row r="67" spans="2:19" s="3" customFormat="1" ht="18" customHeight="1" thickBot="1">
      <c r="B67" s="264"/>
      <c r="C67" s="32" t="s">
        <v>156</v>
      </c>
      <c r="D67" s="37">
        <f>+(D66-'Producción Laminados 2016'!D66)/'Producción Laminados 2016'!D66</f>
        <v>-0.15475486558508281</v>
      </c>
      <c r="E67" s="37">
        <f>+(E66-'Producción Laminados 2016'!E66)/'Producción Laminados 2016'!E66</f>
        <v>-7.1362228522115309E-2</v>
      </c>
      <c r="F67" s="37">
        <f>+(F66-'Producción Laminados 2016'!F66)/'Producción Laminados 2016'!F66</f>
        <v>-8.5354269366807914E-2</v>
      </c>
      <c r="G67" s="37">
        <f>+(G66-'Producción Laminados 2016'!G66)/'Producción Laminados 2016'!G66</f>
        <v>-3.2537724746512224E-2</v>
      </c>
      <c r="H67" s="37">
        <f>+(H66-'Producción Laminados 2016'!H66)/'Producción Laminados 2016'!H66</f>
        <v>-2.1392104115416331E-2</v>
      </c>
      <c r="I67" s="37">
        <f>+(I66-'Producción Laminados 2016'!I66)/'Producción Laminados 2016'!I66</f>
        <v>8.7793189725696705E-2</v>
      </c>
      <c r="J67" s="37">
        <f>+(J66-'Producción Laminados 2016'!J66)/'Producción Laminados 2016'!J66</f>
        <v>-1.3582271881386162E-2</v>
      </c>
      <c r="K67" s="37">
        <f>+(K66-'Producción Laminados 2016'!K66)/'Producción Laminados 2016'!K66</f>
        <v>0.15639878925522635</v>
      </c>
      <c r="L67" s="37">
        <f>+(L66-'Producción Laminados 2016'!L66)/'Producción Laminados 2016'!L66</f>
        <v>8.954271799002661E-2</v>
      </c>
      <c r="M67" s="37">
        <f>+(M66-'Producción Laminados 2016'!M66)/'Producción Laminados 2016'!M66</f>
        <v>-4.5102169879674407E-2</v>
      </c>
      <c r="N67" s="37">
        <f>+(N66-'Producción Laminados 2016'!N66)/'Producción Laminados 2016'!N66</f>
        <v>3.0284500919298667E-2</v>
      </c>
      <c r="O67" s="37">
        <f>+(O66-'Producción Laminados 2016'!O66)/'Producción Laminados 2016'!O66</f>
        <v>-0.13540964836097807</v>
      </c>
      <c r="P67" s="35">
        <f>+(P66-'Producción Laminados 2016'!R66)/'Producción Laminados 2016'!R66</f>
        <v>-2.1638709348567646E-2</v>
      </c>
      <c r="R67" s="14">
        <f>+(R66-'Producción Laminados 2016'!S66)/'Producción Laminados 2016'!S66</f>
        <v>-2.1638709348567646E-2</v>
      </c>
    </row>
    <row r="68" spans="2:19" s="3" customFormat="1" ht="18" customHeight="1" thickTop="1">
      <c r="B68" s="262" t="s">
        <v>7</v>
      </c>
      <c r="C68" s="31" t="s">
        <v>65</v>
      </c>
      <c r="D68" s="30">
        <v>4</v>
      </c>
      <c r="E68" s="30">
        <v>5</v>
      </c>
      <c r="F68" s="30">
        <v>3.2</v>
      </c>
      <c r="G68" s="30">
        <v>4.2</v>
      </c>
      <c r="H68" s="30">
        <v>4.4000000000000004</v>
      </c>
      <c r="I68" s="30">
        <v>5.5</v>
      </c>
      <c r="J68" s="30">
        <v>7</v>
      </c>
      <c r="K68" s="30">
        <v>8</v>
      </c>
      <c r="L68" s="30">
        <v>6</v>
      </c>
      <c r="M68" s="30">
        <v>7</v>
      </c>
      <c r="N68" s="30">
        <v>6</v>
      </c>
      <c r="O68" s="30">
        <v>6</v>
      </c>
      <c r="P68" s="34">
        <f>SUM(D68:O68)</f>
        <v>66.3</v>
      </c>
      <c r="R68" s="14"/>
    </row>
    <row r="69" spans="2:19" s="3" customFormat="1" ht="18" customHeight="1">
      <c r="B69" s="263"/>
      <c r="C69" s="29" t="s">
        <v>59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4"/>
      <c r="P69" s="34">
        <f>SUM(D69:O69)</f>
        <v>0</v>
      </c>
      <c r="R69" s="14"/>
    </row>
    <row r="70" spans="2:19" s="3" customFormat="1" ht="18" customHeight="1">
      <c r="B70" s="263"/>
      <c r="C70" s="29" t="s">
        <v>60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4"/>
      <c r="P70" s="34">
        <f>SUM(D70:O70)</f>
        <v>0</v>
      </c>
      <c r="R70" s="14"/>
    </row>
    <row r="71" spans="2:19" s="3" customFormat="1" ht="18" customHeight="1">
      <c r="B71" s="263"/>
      <c r="C71" s="29" t="s">
        <v>139</v>
      </c>
      <c r="D71" s="30">
        <f>+D68+D69+D70</f>
        <v>4</v>
      </c>
      <c r="E71" s="30">
        <f>+E68+E69+E70</f>
        <v>5</v>
      </c>
      <c r="F71" s="30">
        <f t="shared" ref="F71:O71" si="25">+F68+F69+F70</f>
        <v>3.2</v>
      </c>
      <c r="G71" s="30">
        <f t="shared" si="25"/>
        <v>4.2</v>
      </c>
      <c r="H71" s="30">
        <f t="shared" si="25"/>
        <v>4.4000000000000004</v>
      </c>
      <c r="I71" s="30">
        <f t="shared" si="25"/>
        <v>5.5</v>
      </c>
      <c r="J71" s="30">
        <f t="shared" si="25"/>
        <v>7</v>
      </c>
      <c r="K71" s="30">
        <f t="shared" si="25"/>
        <v>8</v>
      </c>
      <c r="L71" s="30">
        <f t="shared" si="25"/>
        <v>6</v>
      </c>
      <c r="M71" s="30">
        <f t="shared" si="25"/>
        <v>7</v>
      </c>
      <c r="N71" s="30">
        <f t="shared" si="25"/>
        <v>6</v>
      </c>
      <c r="O71" s="30">
        <f t="shared" si="25"/>
        <v>6</v>
      </c>
      <c r="P71" s="34">
        <f>+P68+P69+P70</f>
        <v>66.3</v>
      </c>
      <c r="R71" s="46">
        <f t="shared" ref="R71" si="26">+D71+E71+F71+G71+H71+I71+J71+K71+L71+M71+N71+O71</f>
        <v>66.3</v>
      </c>
    </row>
    <row r="72" spans="2:19" s="3" customFormat="1" ht="18" customHeight="1" thickBot="1">
      <c r="B72" s="264"/>
      <c r="C72" s="32" t="s">
        <v>156</v>
      </c>
      <c r="D72" s="37">
        <f>+(D71-'Producción Laminados 2016'!D71)/'Producción Laminados 2016'!D71</f>
        <v>-9.338056335133782E-2</v>
      </c>
      <c r="E72" s="37">
        <f>+(E71-'Producción Laminados 2016'!E71)/'Producción Laminados 2016'!E71</f>
        <v>0.41164132175991247</v>
      </c>
      <c r="F72" s="37">
        <f>+(F71-'Producción Laminados 2016'!F71)/'Producción Laminados 2016'!F71</f>
        <v>-0.58305344576474494</v>
      </c>
      <c r="G72" s="37">
        <f>+(G71-'Producción Laminados 2016'!G71)/'Producción Laminados 2016'!G71</f>
        <v>-0.19379685987774159</v>
      </c>
      <c r="H72" s="37">
        <f>+(H71-'Producción Laminados 2016'!H71)/'Producción Laminados 2016'!H71</f>
        <v>-0.1964167938639392</v>
      </c>
      <c r="I72" s="37">
        <f>+(I71-'Producción Laminados 2016'!I71)/'Producción Laminados 2016'!I71</f>
        <v>-0.3888888888888889</v>
      </c>
      <c r="J72" s="37">
        <f>+(J71-'Producción Laminados 2016'!J71)/'Producción Laminados 2016'!J71</f>
        <v>-0.125</v>
      </c>
      <c r="K72" s="37">
        <f>+(K71-'Producción Laminados 2016'!K71)/'Producción Laminados 2016'!K71</f>
        <v>6.7830587574060519E-2</v>
      </c>
      <c r="L72" s="37">
        <f>+(L71-'Producción Laminados 2016'!L71)/'Producción Laminados 2016'!L71</f>
        <v>0</v>
      </c>
      <c r="M72" s="37">
        <f>+(M71-'Producción Laminados 2016'!M71)/'Producción Laminados 2016'!M71</f>
        <v>0</v>
      </c>
      <c r="N72" s="37">
        <f>+(N71-'Producción Laminados 2016'!N71)/'Producción Laminados 2016'!N71</f>
        <v>0.2</v>
      </c>
      <c r="O72" s="37">
        <f>+(O71-'Producción Laminados 2016'!O71)/'Producción Laminados 2016'!O71</f>
        <v>0</v>
      </c>
      <c r="P72" s="35">
        <f>+(P71-'Producción Laminados 2016'!R71)/'Producción Laminados 2016'!R71</f>
        <v>-0.11370414930891065</v>
      </c>
      <c r="R72" s="14">
        <f>+(R71-'Producción Laminados 2016'!S71)/'Producción Laminados 2016'!S71</f>
        <v>-0.11370414930891065</v>
      </c>
    </row>
    <row r="73" spans="2:19" s="3" customFormat="1" ht="18" customHeight="1" thickTop="1">
      <c r="B73" s="262" t="s">
        <v>3</v>
      </c>
      <c r="C73" s="31" t="s">
        <v>65</v>
      </c>
      <c r="D73" s="34">
        <v>11.143748</v>
      </c>
      <c r="E73" s="34">
        <v>22.960885999999999</v>
      </c>
      <c r="F73" s="34">
        <v>20.630690000000001</v>
      </c>
      <c r="G73" s="34">
        <v>10.988342000000001</v>
      </c>
      <c r="H73" s="34">
        <v>26.509319999999999</v>
      </c>
      <c r="I73" s="34">
        <v>24.205691999999999</v>
      </c>
      <c r="J73" s="34">
        <v>1.5095200000000002</v>
      </c>
      <c r="K73" s="34">
        <v>7.9338999999999995</v>
      </c>
      <c r="L73" s="34">
        <v>11.987</v>
      </c>
      <c r="M73" s="34">
        <v>4.8550199999999997</v>
      </c>
      <c r="N73" s="34">
        <v>5.2086620000000003</v>
      </c>
      <c r="O73" s="34">
        <v>10.311833999999999</v>
      </c>
      <c r="P73" s="34">
        <f>SUM(D73:O73)</f>
        <v>158.24461399999998</v>
      </c>
      <c r="Q73" s="2"/>
      <c r="R73" s="14"/>
    </row>
    <row r="74" spans="2:19" s="3" customFormat="1" ht="18" customHeight="1">
      <c r="B74" s="263"/>
      <c r="C74" s="29" t="s">
        <v>59</v>
      </c>
      <c r="D74" s="34">
        <v>35.666252</v>
      </c>
      <c r="E74" s="34">
        <v>23.905137</v>
      </c>
      <c r="F74" s="34">
        <v>23.126249999999999</v>
      </c>
      <c r="G74" s="34">
        <v>26.107031000000003</v>
      </c>
      <c r="H74" s="34">
        <v>16.977944999999998</v>
      </c>
      <c r="I74" s="34">
        <v>14.091788000000001</v>
      </c>
      <c r="J74" s="34">
        <v>4.6498720000000002</v>
      </c>
      <c r="K74" s="34">
        <v>11.688000000000001</v>
      </c>
      <c r="L74" s="34">
        <v>31.216000000000001</v>
      </c>
      <c r="M74" s="34">
        <v>6.9471790000000002</v>
      </c>
      <c r="N74" s="34">
        <v>36.478763000000015</v>
      </c>
      <c r="O74" s="34">
        <v>14.741709999999991</v>
      </c>
      <c r="P74" s="34">
        <f>SUM(D74:O74)</f>
        <v>245.59592699999999</v>
      </c>
      <c r="Q74" s="2"/>
      <c r="R74" s="14"/>
    </row>
    <row r="75" spans="2:19" s="3" customFormat="1" ht="18" customHeight="1">
      <c r="B75" s="263"/>
      <c r="C75" s="29" t="s">
        <v>60</v>
      </c>
      <c r="D75" s="34"/>
      <c r="E75" s="34"/>
      <c r="F75" s="30"/>
      <c r="G75" s="30"/>
      <c r="H75" s="30"/>
      <c r="I75" s="30"/>
      <c r="J75" s="30"/>
      <c r="K75" s="30"/>
      <c r="L75" s="34"/>
      <c r="M75" s="34"/>
      <c r="N75" s="34"/>
      <c r="O75" s="34"/>
      <c r="P75" s="34">
        <f>SUM(D75:O75)</f>
        <v>0</v>
      </c>
      <c r="Q75" s="2"/>
      <c r="R75" s="14"/>
    </row>
    <row r="76" spans="2:19" s="3" customFormat="1" ht="18" customHeight="1">
      <c r="B76" s="263"/>
      <c r="C76" s="29" t="s">
        <v>139</v>
      </c>
      <c r="D76" s="171">
        <f>+D73+D74+D75</f>
        <v>46.81</v>
      </c>
      <c r="E76" s="171">
        <f>+E73+E74+E75</f>
        <v>46.866022999999998</v>
      </c>
      <c r="F76" s="171">
        <f t="shared" ref="F76:O76" si="27">+F73+F74+F75</f>
        <v>43.75694</v>
      </c>
      <c r="G76" s="171">
        <f t="shared" si="27"/>
        <v>37.095373000000002</v>
      </c>
      <c r="H76" s="171">
        <f t="shared" si="27"/>
        <v>43.487264999999994</v>
      </c>
      <c r="I76" s="171">
        <f t="shared" si="27"/>
        <v>38.29748</v>
      </c>
      <c r="J76" s="34">
        <f t="shared" si="27"/>
        <v>6.1593920000000004</v>
      </c>
      <c r="K76" s="34">
        <f t="shared" si="27"/>
        <v>19.6219</v>
      </c>
      <c r="L76" s="34">
        <f t="shared" si="27"/>
        <v>43.203000000000003</v>
      </c>
      <c r="M76" s="34">
        <f t="shared" si="27"/>
        <v>11.802199</v>
      </c>
      <c r="N76" s="34">
        <f t="shared" si="27"/>
        <v>41.687425000000019</v>
      </c>
      <c r="O76" s="34">
        <f t="shared" si="27"/>
        <v>25.053543999999988</v>
      </c>
      <c r="P76" s="34">
        <f>+P73+P74+P75</f>
        <v>403.84054099999997</v>
      </c>
      <c r="Q76" s="2"/>
      <c r="R76" s="46">
        <f t="shared" ref="R76" si="28">+D76+E76+F76+G76+H76+I76+J76+K76+L76+M76+N76+O76</f>
        <v>403.84054099999997</v>
      </c>
    </row>
    <row r="77" spans="2:19" s="3" customFormat="1" ht="18" customHeight="1" thickBot="1">
      <c r="B77" s="264"/>
      <c r="C77" s="32" t="s">
        <v>156</v>
      </c>
      <c r="D77" s="35">
        <f>+(D76-'Producción Laminados 2016'!D76)/'Producción Laminados 2016'!D76</f>
        <v>-0.3918862319821127</v>
      </c>
      <c r="E77" s="35">
        <f>+(E76-'Producción Laminados 2016'!E76)/'Producción Laminados 2016'!E76</f>
        <v>-0.18925265361510457</v>
      </c>
      <c r="F77" s="35">
        <f>+(F76-'Producción Laminados 2016'!F76)/'Producción Laminados 2016'!F76</f>
        <v>0.40052190372915031</v>
      </c>
      <c r="G77" s="35">
        <f>+(G76-'Producción Laminados 2016'!G76)/'Producción Laminados 2016'!G76</f>
        <v>0.52152094782480496</v>
      </c>
      <c r="H77" s="35">
        <f>+(H76-'Producción Laminados 2016'!H76)/'Producción Laminados 2016'!H76</f>
        <v>1.6471992252574639</v>
      </c>
      <c r="I77" s="35">
        <f>+(I76-'Producción Laminados 2016'!I76)/'Producción Laminados 2016'!I76</f>
        <v>0.50864441192263632</v>
      </c>
      <c r="J77" s="35">
        <f>+(J76-'Producción Laminados 2016'!J76)/'Producción Laminados 2016'!J76</f>
        <v>-0.81825508127514435</v>
      </c>
      <c r="K77" s="35">
        <f>+(K76-'Producción Laminados 2016'!K76)/'Producción Laminados 2016'!K76</f>
        <v>-0.57397934564396424</v>
      </c>
      <c r="L77" s="35">
        <f>+(L76-'Producción Laminados 2016'!L76)/'Producción Laminados 2016'!L76</f>
        <v>6.7290593042563865E-2</v>
      </c>
      <c r="M77" s="35">
        <f>+(M76-'Producción Laminados 2016'!M76)/'Producción Laminados 2016'!M76</f>
        <v>-0.82832219676853758</v>
      </c>
      <c r="N77" s="35">
        <f>+(N76-'Producción Laminados 2016'!N76)/'Producción Laminados 2016'!N76</f>
        <v>0.27777277651121612</v>
      </c>
      <c r="O77" s="35">
        <f>+(O76-'Producción Laminados 2016'!O76)/'Producción Laminados 2016'!O76</f>
        <v>-0.66898977868761689</v>
      </c>
      <c r="P77" s="35">
        <f>+(P76-'Producción Laminados 2016'!R76)/'Producción Laminados 2016'!R76</f>
        <v>-0.2376136323757887</v>
      </c>
      <c r="Q77" s="2"/>
      <c r="R77" s="14">
        <f>+(R76-'Producción Laminados 2016'!S76)/'Producción Laminados 2016'!S76</f>
        <v>-0.2376136323757887</v>
      </c>
    </row>
    <row r="78" spans="2:19" ht="18" customHeight="1" thickTop="1">
      <c r="B78" s="262" t="s">
        <v>61</v>
      </c>
      <c r="C78" s="31" t="s">
        <v>65</v>
      </c>
      <c r="D78" s="34">
        <f t="shared" ref="D78:E81" si="29">+D3+D8+D13+D18+D23+D28+D33+D38+D43+D48+D53+D58+D63+D68+D73</f>
        <v>2033.0215689549993</v>
      </c>
      <c r="E78" s="34">
        <f t="shared" si="29"/>
        <v>2021.8508150000005</v>
      </c>
      <c r="F78" s="34">
        <f t="shared" ref="F78:O78" si="30">+F3+F8+F13+F18+F23+F28+F33+F38+F43+F48+F53+F58+F63+F68+F73</f>
        <v>2213.6992804519991</v>
      </c>
      <c r="G78" s="34">
        <f t="shared" si="30"/>
        <v>2102.3963329999992</v>
      </c>
      <c r="H78" s="34">
        <f t="shared" si="30"/>
        <v>2175.8757460000006</v>
      </c>
      <c r="I78" s="34">
        <f>+I3+I8+I13+I18+I23+I28+I33+I38+I43+I48+I53+I58+I63+I68+I73</f>
        <v>2127.7451774950005</v>
      </c>
      <c r="J78" s="34">
        <f t="shared" si="30"/>
        <v>2101.2672803370001</v>
      </c>
      <c r="K78" s="34">
        <f t="shared" si="30"/>
        <v>2138.7871941230005</v>
      </c>
      <c r="L78" s="34">
        <f t="shared" si="30"/>
        <v>2089.0578041089984</v>
      </c>
      <c r="M78" s="34">
        <f t="shared" si="30"/>
        <v>2196.7087560609993</v>
      </c>
      <c r="N78" s="34">
        <f t="shared" si="30"/>
        <v>2172.0564368090004</v>
      </c>
      <c r="O78" s="34">
        <f t="shared" si="30"/>
        <v>2033.167346081997</v>
      </c>
      <c r="P78" s="34">
        <f>+P3+P8+P13+P18+P23+P28+P33+P38+P43+P48+P53+P58+P63+P68+P73</f>
        <v>25405.633738422996</v>
      </c>
      <c r="Q78" s="5"/>
      <c r="R78" s="14"/>
      <c r="S78" s="14">
        <f>(P78-'Producción Laminados 2015'!I93)/'Producción Laminados 2015'!I93</f>
        <v>1.2656711861320038</v>
      </c>
    </row>
    <row r="79" spans="2:19" ht="18" customHeight="1">
      <c r="B79" s="263"/>
      <c r="C79" s="29" t="s">
        <v>59</v>
      </c>
      <c r="D79" s="34">
        <f t="shared" si="29"/>
        <v>2116.7240558550002</v>
      </c>
      <c r="E79" s="34">
        <f t="shared" si="29"/>
        <v>1953.1491370000001</v>
      </c>
      <c r="F79" s="34">
        <f t="shared" ref="F79:O79" si="31">+F4+F9+F14+F19+F24+F29+F34+F39+F44+F49+F54+F59+F64+F69+F74</f>
        <v>2165.8097268549996</v>
      </c>
      <c r="G79" s="34">
        <f>+G4+G9+G14+G19+G24+G29+G34+G39+G44+G49+G54+G59+G64+G69+G74</f>
        <v>2199.4457339999999</v>
      </c>
      <c r="H79" s="34">
        <f t="shared" si="31"/>
        <v>2160.0549449999999</v>
      </c>
      <c r="I79" s="34">
        <f t="shared" si="31"/>
        <v>2122.2677774870003</v>
      </c>
      <c r="J79" s="34">
        <f t="shared" si="31"/>
        <v>2208.864943903</v>
      </c>
      <c r="K79" s="34">
        <f t="shared" si="31"/>
        <v>2251.7331004799998</v>
      </c>
      <c r="L79" s="34">
        <f t="shared" si="31"/>
        <v>2162.7557134909998</v>
      </c>
      <c r="M79" s="34">
        <f t="shared" si="31"/>
        <v>2202.100300132</v>
      </c>
      <c r="N79" s="34">
        <f t="shared" si="31"/>
        <v>2230.0138096210003</v>
      </c>
      <c r="O79" s="34">
        <f t="shared" si="31"/>
        <v>2148.7191545589999</v>
      </c>
      <c r="P79" s="34">
        <f>+P4+P9+P14+P19+P24+P29+P34+P39+P44+P49+P54+P59+P64+P69+P74</f>
        <v>25921.638398383002</v>
      </c>
      <c r="Q79" s="5"/>
      <c r="R79" s="14"/>
      <c r="S79" s="14">
        <f>(P79-'Producción Laminados 2015'!I94)/'Producción Laminados 2015'!I94</f>
        <v>1.3454558893853568</v>
      </c>
    </row>
    <row r="80" spans="2:19" ht="18" customHeight="1">
      <c r="B80" s="263"/>
      <c r="C80" s="29" t="s">
        <v>60</v>
      </c>
      <c r="D80" s="34">
        <f t="shared" si="29"/>
        <v>118.36699999999999</v>
      </c>
      <c r="E80" s="34">
        <f t="shared" si="29"/>
        <v>91.676000000000002</v>
      </c>
      <c r="F80" s="34">
        <f t="shared" ref="F80:O80" si="32">+F5+F10+F15+F20+F25+F30+F35+F40+F45+F50+F55+F60+F65+F70+F75</f>
        <v>138.37299999999999</v>
      </c>
      <c r="G80" s="34">
        <f>+G5+G10+G15+G20+G25+G30+G35+G40+G45+G50+G55+G60+G65+G70+G75</f>
        <v>127.05</v>
      </c>
      <c r="H80" s="34">
        <f>+H5+H10+H15+H20+H25+H30+H35+H40+H45+H50+H55+H60+H65+H70+H75</f>
        <v>119.295</v>
      </c>
      <c r="I80" s="34">
        <f t="shared" si="32"/>
        <v>138.89100000000002</v>
      </c>
      <c r="J80" s="34">
        <f t="shared" si="32"/>
        <v>124.178</v>
      </c>
      <c r="K80" s="34">
        <f t="shared" si="32"/>
        <v>125.223</v>
      </c>
      <c r="L80" s="34">
        <f t="shared" si="32"/>
        <v>137.00900000000001</v>
      </c>
      <c r="M80" s="34">
        <f t="shared" si="32"/>
        <v>150.40800000000002</v>
      </c>
      <c r="N80" s="34">
        <f t="shared" si="32"/>
        <v>141.71100000000001</v>
      </c>
      <c r="O80" s="34">
        <f t="shared" si="32"/>
        <v>147.81799999999998</v>
      </c>
      <c r="P80" s="34">
        <f>+P5+P10+P15+P20+P25+P30+P35+P40+P45+P50+P55+P60+P65+P70+P75</f>
        <v>1559.9989999999998</v>
      </c>
      <c r="Q80" s="5"/>
      <c r="R80" s="14"/>
      <c r="S80" s="14">
        <f>(P80-'Producción Laminados 2015'!I95)/'Producción Laminados 2015'!I95</f>
        <v>2.6369717062071021</v>
      </c>
    </row>
    <row r="81" spans="2:19" ht="18" customHeight="1">
      <c r="B81" s="263"/>
      <c r="C81" s="29" t="s">
        <v>139</v>
      </c>
      <c r="D81" s="34">
        <f t="shared" si="29"/>
        <v>4268.1126248099999</v>
      </c>
      <c r="E81" s="34">
        <f t="shared" si="29"/>
        <v>4066.6759520000005</v>
      </c>
      <c r="F81" s="34">
        <f>+F6+F11+F16+F21+F26+F31+F36+F41+F46+F51+F56+F61+F66+F71+F76</f>
        <v>4517.8820073069992</v>
      </c>
      <c r="G81" s="34">
        <f>+G6+G11+G16+G21+G26+G31+G36+G41+G46+G51+G56+G61+G66+G71+G76</f>
        <v>4428.8920669999998</v>
      </c>
      <c r="H81" s="34">
        <f>+H6+H11+H16+H21+H26+H31+H36+H41+H46+H51+H56+H61+H66+H71+H76</f>
        <v>4455.2256909999996</v>
      </c>
      <c r="I81" s="34">
        <f t="shared" ref="I81:O81" si="33">+I78+I79+I80</f>
        <v>4388.9039549820009</v>
      </c>
      <c r="J81" s="34">
        <f t="shared" si="33"/>
        <v>4434.31022424</v>
      </c>
      <c r="K81" s="34">
        <f t="shared" si="33"/>
        <v>4515.7432946030003</v>
      </c>
      <c r="L81" s="34">
        <f t="shared" si="33"/>
        <v>4388.8225175999978</v>
      </c>
      <c r="M81" s="34">
        <f t="shared" si="33"/>
        <v>4549.2170561929997</v>
      </c>
      <c r="N81" s="34">
        <f t="shared" si="33"/>
        <v>4543.7812464300014</v>
      </c>
      <c r="O81" s="34">
        <f t="shared" si="33"/>
        <v>4329.7045006409971</v>
      </c>
      <c r="P81" s="34">
        <f>+P6+P11+P16+P21+P26+P31+P36+P41+P46+P51+P56+P61+P66+P71+P76</f>
        <v>52887.271136806005</v>
      </c>
      <c r="Q81" s="5"/>
      <c r="R81" s="46">
        <f t="shared" ref="R81" si="34">+D81+E81+F81+G81+H81+I81+J81+K81+L81+M81+N81+O81</f>
        <v>52887.271136805997</v>
      </c>
      <c r="S81" s="14">
        <f>(P81-'Producción Laminados 2015'!I96)/'Producción Laminados 2015'!I96</f>
        <v>1.3304439573555462</v>
      </c>
    </row>
    <row r="82" spans="2:19" ht="18" customHeight="1" thickBot="1">
      <c r="B82" s="264"/>
      <c r="C82" s="32" t="s">
        <v>156</v>
      </c>
      <c r="D82" s="35">
        <f>+(D81-'Producción Laminados 2016'!D81)/'Producción Laminados 2016'!D81</f>
        <v>3.910816213049996E-2</v>
      </c>
      <c r="E82" s="35">
        <f>+(E81-'Producción Laminados 2016'!E81)/'Producción Laminados 2016'!E81</f>
        <v>2.2321606097791468E-3</v>
      </c>
      <c r="F82" s="35">
        <f>+(F81-'Producción Laminados 2016'!F81)/'Producción Laminados 2016'!F81</f>
        <v>5.6338250735707106E-2</v>
      </c>
      <c r="G82" s="35">
        <f>+(G81-'Producción Laminados 2016'!G81)/'Producción Laminados 2016'!G81</f>
        <v>6.8958737242212284E-2</v>
      </c>
      <c r="H82" s="35">
        <f>+(H81-'Producción Laminados 2016'!H81)/'Producción Laminados 2016'!H81</f>
        <v>3.7917916913224346E-2</v>
      </c>
      <c r="I82" s="35">
        <f>+(I81-'Producción Laminados 2016'!I81)/'Producción Laminados 2016'!I81</f>
        <v>1.0241353973637943E-2</v>
      </c>
      <c r="J82" s="35">
        <f>+(J81-'Producción Laminados 2016'!J81)/'Producción Laminados 2016'!J81</f>
        <v>5.9700574444784447E-4</v>
      </c>
      <c r="K82" s="35">
        <f>+(K81-'Producción Laminados 2016'!K81)/'Producción Laminados 2016'!K81</f>
        <v>4.8902566793338008E-2</v>
      </c>
      <c r="L82" s="35">
        <f>+(L81-'Producción Laminados 2016'!L81)/'Producción Laminados 2016'!L81</f>
        <v>4.1520998684940101E-2</v>
      </c>
      <c r="M82" s="35">
        <f>+(M81-'Producción Laminados 2016'!M81)/'Producción Laminados 2016'!M81</f>
        <v>3.9555833727727132E-3</v>
      </c>
      <c r="N82" s="35">
        <f>+(N81-'Producción Laminados 2016'!N81)/'Producción Laminados 2016'!N81</f>
        <v>6.1822984863013991E-2</v>
      </c>
      <c r="O82" s="35">
        <f>+(O81-'Producción Laminados 2016'!O81)/'Producción Laminados 2016'!O81</f>
        <v>0.14808771460245732</v>
      </c>
      <c r="P82" s="35">
        <f>+(P81-'Producción Laminados 2016'!R81)/'Producción Laminados 2016'!R81</f>
        <v>4.2020003595779336E-2</v>
      </c>
      <c r="Q82" s="6"/>
      <c r="R82" s="14">
        <f>+(R81-'Producción Laminados 2016'!S81)/'Producción Laminados 2016'!S81</f>
        <v>4.2020003595779197E-2</v>
      </c>
    </row>
    <row r="83" spans="2:19" s="3" customFormat="1" ht="18" customHeight="1" thickTop="1">
      <c r="B83" s="28"/>
      <c r="C83" s="2"/>
      <c r="D83" s="2"/>
      <c r="E83" s="192">
        <f>+E81+D81</f>
        <v>8334.7885768100004</v>
      </c>
      <c r="F83" s="192">
        <f>+E83+F81</f>
        <v>12852.670584117001</v>
      </c>
      <c r="G83" s="36"/>
      <c r="H83" s="36"/>
      <c r="I83" s="36"/>
      <c r="J83" s="36"/>
      <c r="K83" s="36"/>
      <c r="L83" s="36"/>
      <c r="M83" s="36"/>
      <c r="N83" s="36"/>
      <c r="O83" s="36"/>
      <c r="P83" s="2"/>
      <c r="Q83" s="2"/>
    </row>
    <row r="84" spans="2:19" s="3" customFormat="1" ht="18" customHeight="1">
      <c r="B84" s="25" t="s">
        <v>19</v>
      </c>
      <c r="C84" s="25" t="s">
        <v>19</v>
      </c>
      <c r="D84" s="2"/>
      <c r="E84" s="2"/>
      <c r="F84" s="36"/>
      <c r="G84" s="36"/>
      <c r="H84" s="45"/>
      <c r="I84" s="36"/>
      <c r="J84" s="45"/>
      <c r="K84" s="36"/>
      <c r="L84" s="36"/>
      <c r="M84" s="36"/>
      <c r="N84" s="36"/>
      <c r="O84" s="36"/>
      <c r="P84" s="2"/>
      <c r="Q84" s="2"/>
    </row>
    <row r="85" spans="2:19" s="3" customFormat="1" ht="18" customHeight="1">
      <c r="B85" s="26" t="s">
        <v>12</v>
      </c>
      <c r="C85" s="26" t="s">
        <v>12</v>
      </c>
      <c r="D85" s="2"/>
      <c r="E85" s="2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14"/>
      <c r="Q85" s="2"/>
    </row>
    <row r="86" spans="2:19" s="3" customFormat="1" ht="18" customHeight="1">
      <c r="B86" s="2" t="s">
        <v>18</v>
      </c>
      <c r="C86" s="2"/>
      <c r="D86" s="2"/>
      <c r="E86" s="2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2"/>
      <c r="Q86" s="2"/>
    </row>
    <row r="87" spans="2:19" ht="18" customHeight="1"/>
    <row r="88" spans="2:19">
      <c r="D88" s="66"/>
      <c r="E88" s="66"/>
      <c r="J88" s="149"/>
    </row>
    <row r="89" spans="2:19">
      <c r="D89" s="66"/>
      <c r="E89" s="66"/>
    </row>
    <row r="90" spans="2:19">
      <c r="D90" s="66"/>
      <c r="E90" s="36"/>
    </row>
    <row r="91" spans="2:19">
      <c r="D91" s="45"/>
      <c r="E91" s="66"/>
    </row>
    <row r="92" spans="2:19">
      <c r="E92" s="36"/>
    </row>
  </sheetData>
  <mergeCells count="16">
    <mergeCell ref="B63:B67"/>
    <mergeCell ref="B68:B72"/>
    <mergeCell ref="B73:B77"/>
    <mergeCell ref="B78:B82"/>
    <mergeCell ref="B33:B37"/>
    <mergeCell ref="B38:B42"/>
    <mergeCell ref="B43:B47"/>
    <mergeCell ref="B48:B52"/>
    <mergeCell ref="B53:B57"/>
    <mergeCell ref="B58:B62"/>
    <mergeCell ref="B28:B32"/>
    <mergeCell ref="B3:B7"/>
    <mergeCell ref="B8:B12"/>
    <mergeCell ref="B13:B17"/>
    <mergeCell ref="B18:B22"/>
    <mergeCell ref="B23:B27"/>
  </mergeCells>
  <hyperlinks>
    <hyperlink ref="P1" location="Índice!A1" display="Í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V96"/>
  <sheetViews>
    <sheetView zoomScale="70" zoomScaleNormal="70" zoomScaleSheetLayoutView="90" workbookViewId="0">
      <pane xSplit="3" ySplit="2" topLeftCell="I59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6384" width="11.42578125" style="2"/>
  </cols>
  <sheetData>
    <row r="1" spans="2:22" s="8" customFormat="1" ht="38.25" customHeight="1" thickBot="1">
      <c r="B1" s="22" t="s">
        <v>134</v>
      </c>
      <c r="P1" s="87" t="s">
        <v>111</v>
      </c>
    </row>
    <row r="2" spans="2:22" ht="30" customHeight="1" thickTop="1">
      <c r="B2" s="33" t="s">
        <v>36</v>
      </c>
      <c r="C2" s="21" t="s">
        <v>23</v>
      </c>
      <c r="D2" s="74" t="s">
        <v>27</v>
      </c>
      <c r="E2" s="74" t="s">
        <v>28</v>
      </c>
      <c r="F2" s="74" t="s">
        <v>26</v>
      </c>
      <c r="G2" s="74" t="s">
        <v>22</v>
      </c>
      <c r="H2" s="74" t="s">
        <v>29</v>
      </c>
      <c r="I2" s="74" t="s">
        <v>30</v>
      </c>
      <c r="J2" s="74" t="s">
        <v>31</v>
      </c>
      <c r="K2" s="74" t="s">
        <v>32</v>
      </c>
      <c r="L2" s="74" t="s">
        <v>33</v>
      </c>
      <c r="M2" s="74" t="s">
        <v>24</v>
      </c>
      <c r="N2" s="74" t="s">
        <v>34</v>
      </c>
      <c r="O2" s="74" t="s">
        <v>35</v>
      </c>
      <c r="P2" s="65" t="s">
        <v>25</v>
      </c>
      <c r="R2" s="36" t="s">
        <v>176</v>
      </c>
      <c r="S2" s="36" t="s">
        <v>176</v>
      </c>
    </row>
    <row r="3" spans="2:22" ht="18" customHeight="1">
      <c r="B3" s="265" t="s">
        <v>0</v>
      </c>
      <c r="C3" s="29" t="s">
        <v>65</v>
      </c>
      <c r="D3" s="34">
        <v>97.807000000000002</v>
      </c>
      <c r="E3" s="34">
        <v>119.096</v>
      </c>
      <c r="F3" s="34">
        <v>133.03399999999999</v>
      </c>
      <c r="G3" s="34">
        <v>123.595</v>
      </c>
      <c r="H3" s="34">
        <v>124.342</v>
      </c>
      <c r="I3" s="34">
        <v>104.42700000000001</v>
      </c>
      <c r="J3" s="34">
        <v>100.375</v>
      </c>
      <c r="K3" s="34">
        <v>111.21</v>
      </c>
      <c r="L3" s="34">
        <v>97.525000000000006</v>
      </c>
      <c r="M3" s="34">
        <v>118.581</v>
      </c>
      <c r="N3" s="34">
        <v>124.492</v>
      </c>
      <c r="O3" s="34">
        <v>78.763000000000005</v>
      </c>
      <c r="P3" s="34">
        <f>SUM(D3:O3)</f>
        <v>1333.2469999999998</v>
      </c>
      <c r="R3" s="7">
        <f>+D3+E3+F3+G3+H3+I3+J3+K3+L3+M3+N3+O3</f>
        <v>1333.2469999999998</v>
      </c>
      <c r="S3" s="14"/>
      <c r="T3" s="14">
        <f>+(P3-'Producción Laminados 2015'!P3)/'Producción Laminados 2015'!P3</f>
        <v>-0.19485004822154012</v>
      </c>
    </row>
    <row r="4" spans="2:22" ht="18" customHeight="1">
      <c r="B4" s="257"/>
      <c r="C4" s="29" t="s">
        <v>59</v>
      </c>
      <c r="D4" s="34">
        <v>223.233</v>
      </c>
      <c r="E4" s="34">
        <v>108.90900000000001</v>
      </c>
      <c r="F4" s="34">
        <v>228.43100000000001</v>
      </c>
      <c r="G4" s="34">
        <v>210.47300000000001</v>
      </c>
      <c r="H4" s="34">
        <v>221.46899999999999</v>
      </c>
      <c r="I4" s="34">
        <v>198.12299999999999</v>
      </c>
      <c r="J4" s="34">
        <v>189.554</v>
      </c>
      <c r="K4" s="34">
        <v>89.635999999999996</v>
      </c>
      <c r="L4" s="34">
        <v>215.559</v>
      </c>
      <c r="M4" s="34">
        <v>197.16800000000001</v>
      </c>
      <c r="N4" s="34">
        <v>206.58099999999999</v>
      </c>
      <c r="O4" s="34">
        <v>185.34399999999999</v>
      </c>
      <c r="P4" s="34">
        <f>SUM(D4:O4)</f>
        <v>2274.4800000000005</v>
      </c>
      <c r="R4" s="7">
        <f t="shared" ref="R4:R6" si="0">+D4+E4+F4+G4+H4+I4+J4+K4+L4+M4+N4+O4</f>
        <v>2274.4800000000005</v>
      </c>
      <c r="S4" s="14"/>
      <c r="T4" s="14">
        <f>+(P4-'Producción Laminados 2015'!P4)/'Producción Laminados 2015'!P4</f>
        <v>-0.11005484489307037</v>
      </c>
    </row>
    <row r="5" spans="2:22" ht="18" customHeight="1">
      <c r="B5" s="257"/>
      <c r="C5" s="29" t="s">
        <v>60</v>
      </c>
      <c r="D5" s="34">
        <v>21.661000000000001</v>
      </c>
      <c r="E5" s="34">
        <v>8.7650000000000006</v>
      </c>
      <c r="F5" s="34">
        <v>12.157999999999999</v>
      </c>
      <c r="G5" s="34">
        <v>24.495000000000001</v>
      </c>
      <c r="H5" s="34">
        <v>36.529000000000003</v>
      </c>
      <c r="I5" s="34">
        <v>35.423000000000002</v>
      </c>
      <c r="J5" s="34">
        <v>38.601999999999997</v>
      </c>
      <c r="K5" s="34">
        <v>35.104999999999997</v>
      </c>
      <c r="L5" s="34">
        <v>40.695999999999998</v>
      </c>
      <c r="M5" s="34">
        <v>34.832000000000001</v>
      </c>
      <c r="N5" s="34">
        <v>41.796999999999997</v>
      </c>
      <c r="O5" s="34">
        <v>46.015000000000001</v>
      </c>
      <c r="P5" s="34">
        <f>SUM(D5:O5)</f>
        <v>376.07799999999997</v>
      </c>
      <c r="R5" s="7">
        <f t="shared" si="0"/>
        <v>376.07799999999997</v>
      </c>
      <c r="T5" s="14">
        <f>+(P5-'Producción Laminados 2015'!P5)/'Producción Laminados 2015'!P5</f>
        <v>4.5102376558991464E-2</v>
      </c>
    </row>
    <row r="6" spans="2:22" ht="18" customHeight="1">
      <c r="B6" s="257"/>
      <c r="C6" s="29" t="s">
        <v>139</v>
      </c>
      <c r="D6" s="34">
        <f t="shared" ref="D6:O6" si="1">+D3+D4+D5</f>
        <v>342.70100000000002</v>
      </c>
      <c r="E6" s="34">
        <f t="shared" si="1"/>
        <v>236.76999999999998</v>
      </c>
      <c r="F6" s="34">
        <f t="shared" si="1"/>
        <v>373.62300000000005</v>
      </c>
      <c r="G6" s="34">
        <f t="shared" si="1"/>
        <v>358.56299999999999</v>
      </c>
      <c r="H6" s="34">
        <f t="shared" si="1"/>
        <v>382.34</v>
      </c>
      <c r="I6" s="34">
        <f t="shared" si="1"/>
        <v>337.97300000000001</v>
      </c>
      <c r="J6" s="34">
        <f t="shared" si="1"/>
        <v>328.53099999999995</v>
      </c>
      <c r="K6" s="34">
        <f t="shared" si="1"/>
        <v>235.95099999999999</v>
      </c>
      <c r="L6" s="34">
        <f>+L3+L4+L5</f>
        <v>353.78</v>
      </c>
      <c r="M6" s="34">
        <f t="shared" si="1"/>
        <v>350.58100000000002</v>
      </c>
      <c r="N6" s="34">
        <f t="shared" si="1"/>
        <v>372.87</v>
      </c>
      <c r="O6" s="34">
        <f t="shared" si="1"/>
        <v>310.12199999999996</v>
      </c>
      <c r="P6" s="34">
        <f>+P3+P4+P5</f>
        <v>3983.8050000000003</v>
      </c>
      <c r="R6" s="7">
        <f t="shared" si="0"/>
        <v>3983.8049999999998</v>
      </c>
      <c r="S6" s="7">
        <f>+D6+E6+F6+G6+H6+I6+J6+K6+L6+M6+N6+O6</f>
        <v>3983.8049999999998</v>
      </c>
      <c r="T6" s="14">
        <f>+(P6-'Producción Laminados 2015'!P6)/'Producción Laminados 2015'!P6</f>
        <v>-0.12855627255824104</v>
      </c>
    </row>
    <row r="7" spans="2:22" ht="18" customHeight="1" thickBot="1">
      <c r="B7" s="258"/>
      <c r="C7" s="32" t="s">
        <v>81</v>
      </c>
      <c r="D7" s="35">
        <f>+(D6-'Producción Laminados 2015'!D6)/'Producción Laminados 2015'!D6</f>
        <v>-7.7731878305098326E-2</v>
      </c>
      <c r="E7" s="35">
        <f>+(E6-'Producción Laminados 2015'!E6)/'Producción Laminados 2015'!E6</f>
        <v>-0.30081267201360762</v>
      </c>
      <c r="F7" s="35">
        <f>+(F6-'Producción Laminados 2015'!F6)/'Producción Laminados 2015'!F6</f>
        <v>-5.5913945890218676E-2</v>
      </c>
      <c r="G7" s="35">
        <f>+(G6-'Producción Laminados 2015'!G6)/'Producción Laminados 2015'!G6</f>
        <v>-7.8130463399082695E-2</v>
      </c>
      <c r="H7" s="35">
        <f>+(H6-'Producción Laminados 2015'!H6)/'Producción Laminados 2015'!H6</f>
        <v>4.4159816478684652E-2</v>
      </c>
      <c r="I7" s="35">
        <f>+(I6-'Producción Laminados 2015'!I6)/'Producción Laminados 2015'!I6</f>
        <v>-0.1299043333196028</v>
      </c>
      <c r="J7" s="35">
        <f>+(J6-'Producción Laminados 2015'!J6)/'Producción Laminados 2015'!J6</f>
        <v>-0.19260213172245844</v>
      </c>
      <c r="K7" s="35">
        <f>+(K6-'Producción Laminados 2015'!K6)/'Producción Laminados 2015'!K6</f>
        <v>-0.4035526322441696</v>
      </c>
      <c r="L7" s="35">
        <f>+(L6-'Producción Laminados 2015'!L6)/'Producción Laminados 2015'!L6</f>
        <v>5.0830642741938062E-2</v>
      </c>
      <c r="M7" s="35">
        <f>+(M6-'Producción Laminados 2015'!M6)/'Producción Laminados 2015'!M6</f>
        <v>-0.14941382556458113</v>
      </c>
      <c r="N7" s="35">
        <f>+(N6-'Producción Laminados 2015'!N6)/'Producción Laminados 2015'!N6</f>
        <v>-6.3724111608846709E-2</v>
      </c>
      <c r="O7" s="35">
        <f>+(O6-'Producción Laminados 2015'!O6)/'Producción Laminados 2015'!O6</f>
        <v>-0.16723415682062318</v>
      </c>
      <c r="P7" s="35">
        <f>+(P6-'Producción Laminados 2015'!P6)/'Producción Laminados 2015'!P6</f>
        <v>-0.12855627255824104</v>
      </c>
      <c r="S7" s="84"/>
    </row>
    <row r="8" spans="2:22" ht="18" customHeight="1" thickTop="1">
      <c r="B8" s="256" t="s">
        <v>42</v>
      </c>
      <c r="C8" s="31" t="s">
        <v>65</v>
      </c>
      <c r="D8" s="34">
        <v>665</v>
      </c>
      <c r="E8" s="34">
        <v>727</v>
      </c>
      <c r="F8" s="34">
        <v>745</v>
      </c>
      <c r="G8" s="34">
        <v>779</v>
      </c>
      <c r="H8" s="34">
        <v>812</v>
      </c>
      <c r="I8" s="34">
        <v>805</v>
      </c>
      <c r="J8" s="34">
        <v>801</v>
      </c>
      <c r="K8" s="34">
        <v>812</v>
      </c>
      <c r="L8" s="34">
        <v>721</v>
      </c>
      <c r="M8" s="34">
        <v>743</v>
      </c>
      <c r="N8" s="34">
        <v>665</v>
      </c>
      <c r="O8" s="34">
        <v>372</v>
      </c>
      <c r="P8" s="34">
        <f>SUM(D8:O8)</f>
        <v>8647</v>
      </c>
      <c r="R8" s="7">
        <f t="shared" ref="R8:R11" si="2">+D8+E8+F8+G8+H8+I8+J8+K8+L8+M8+N8+O8</f>
        <v>8647</v>
      </c>
      <c r="S8" s="14"/>
    </row>
    <row r="9" spans="2:22" ht="18" customHeight="1">
      <c r="B9" s="257"/>
      <c r="C9" s="29" t="s">
        <v>59</v>
      </c>
      <c r="D9" s="34">
        <v>949</v>
      </c>
      <c r="E9" s="34">
        <v>973</v>
      </c>
      <c r="F9" s="34">
        <v>1010</v>
      </c>
      <c r="G9" s="34">
        <v>856</v>
      </c>
      <c r="H9" s="34">
        <v>916</v>
      </c>
      <c r="I9" s="34">
        <v>969</v>
      </c>
      <c r="J9" s="34">
        <v>1111</v>
      </c>
      <c r="K9" s="34">
        <v>1073</v>
      </c>
      <c r="L9" s="34">
        <v>1088</v>
      </c>
      <c r="M9" s="34">
        <v>1191</v>
      </c>
      <c r="N9" s="34">
        <v>1111</v>
      </c>
      <c r="O9" s="34">
        <v>1026</v>
      </c>
      <c r="P9" s="34">
        <f>SUM(D9:O9)</f>
        <v>12273</v>
      </c>
      <c r="R9" s="7">
        <f t="shared" si="2"/>
        <v>12273</v>
      </c>
      <c r="S9" s="14"/>
    </row>
    <row r="10" spans="2:22" ht="18" customHeight="1">
      <c r="B10" s="257"/>
      <c r="C10" s="29" t="s">
        <v>60</v>
      </c>
      <c r="D10" s="34">
        <v>0</v>
      </c>
      <c r="E10" s="34">
        <v>0</v>
      </c>
      <c r="F10" s="34"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>
        <f>SUM(D10:O10)</f>
        <v>0</v>
      </c>
      <c r="R10" s="7">
        <f t="shared" si="2"/>
        <v>0</v>
      </c>
    </row>
    <row r="11" spans="2:22" ht="18" customHeight="1">
      <c r="B11" s="257"/>
      <c r="C11" s="29" t="s">
        <v>139</v>
      </c>
      <c r="D11" s="34">
        <f t="shared" ref="D11:O11" si="3">+D8+D9+D10</f>
        <v>1614</v>
      </c>
      <c r="E11" s="34">
        <f t="shared" si="3"/>
        <v>1700</v>
      </c>
      <c r="F11" s="34">
        <f t="shared" si="3"/>
        <v>1755</v>
      </c>
      <c r="G11" s="34">
        <f t="shared" si="3"/>
        <v>1635</v>
      </c>
      <c r="H11" s="34">
        <f t="shared" si="3"/>
        <v>1728</v>
      </c>
      <c r="I11" s="34">
        <f t="shared" si="3"/>
        <v>1774</v>
      </c>
      <c r="J11" s="34">
        <f t="shared" si="3"/>
        <v>1912</v>
      </c>
      <c r="K11" s="34">
        <f t="shared" si="3"/>
        <v>1885</v>
      </c>
      <c r="L11" s="34">
        <f t="shared" si="3"/>
        <v>1809</v>
      </c>
      <c r="M11" s="34">
        <f t="shared" si="3"/>
        <v>1934</v>
      </c>
      <c r="N11" s="34">
        <f t="shared" si="3"/>
        <v>1776</v>
      </c>
      <c r="O11" s="34">
        <f t="shared" si="3"/>
        <v>1398</v>
      </c>
      <c r="P11" s="34">
        <f>+P8+P9+P10</f>
        <v>20920</v>
      </c>
      <c r="R11" s="7">
        <f t="shared" si="2"/>
        <v>20920</v>
      </c>
      <c r="S11" s="7">
        <f t="shared" ref="S11" si="4">+D11+E11+F11+G11+H11+I11+J11+K11+L11+M11+N11+O11</f>
        <v>20920</v>
      </c>
      <c r="U11" s="14">
        <f>+R11/R81</f>
        <v>0.41217967965930874</v>
      </c>
    </row>
    <row r="12" spans="2:22" ht="18" customHeight="1" thickBot="1">
      <c r="B12" s="258"/>
      <c r="C12" s="32" t="s">
        <v>81</v>
      </c>
      <c r="D12" s="35">
        <f>+(D11-'Producción Laminados 2015'!D11)/'Producción Laminados 2015'!D11</f>
        <v>-0.19621513944223107</v>
      </c>
      <c r="E12" s="35">
        <f>+(E11-'Producción Laminados 2015'!E11)/'Producción Laminados 2015'!E11</f>
        <v>-0.14872308462694042</v>
      </c>
      <c r="F12" s="35">
        <f>+(F11-'Producción Laminados 2015'!F11)/'Producción Laminados 2015'!F11</f>
        <v>-0.1878759833410458</v>
      </c>
      <c r="G12" s="35">
        <f>+(G11-'Producción Laminados 2015'!G11)/'Producción Laminados 2015'!G11</f>
        <v>-0.20166015625</v>
      </c>
      <c r="H12" s="35">
        <f>+(H11-'Producción Laminados 2015'!H11)/'Producción Laminados 2015'!H11</f>
        <v>-9.4814038763750649E-2</v>
      </c>
      <c r="I12" s="35">
        <f>+(I11-'Producción Laminados 2015'!I11)/'Producción Laminados 2015'!I11</f>
        <v>-4.0562466197944833E-2</v>
      </c>
      <c r="J12" s="35">
        <f>+(J11-'Producción Laminados 2015'!J11)/'Producción Laminados 2015'!J11</f>
        <v>-4.6850598646538261E-3</v>
      </c>
      <c r="K12" s="35">
        <f>+(K11-'Producción Laminados 2015'!K11)/'Producción Laminados 2015'!K11</f>
        <v>2.3344191096634093E-2</v>
      </c>
      <c r="L12" s="35">
        <f>+(L11-'Producción Laminados 2015'!L11)/'Producción Laminados 2015'!L11</f>
        <v>8.4532374100719426E-2</v>
      </c>
      <c r="M12" s="35">
        <f>+(M11-'Producción Laminados 2015'!M11)/'Producción Laminados 2015'!M11</f>
        <v>2.6539278131634821E-2</v>
      </c>
      <c r="N12" s="35">
        <f>+(N11-'Producción Laminados 2015'!N11)/'Producción Laminados 2015'!N11</f>
        <v>-3.4257748776508973E-2</v>
      </c>
      <c r="O12" s="35">
        <f>+(O11-'Producción Laminados 2015'!O11)/'Producción Laminados 2015'!O11</f>
        <v>-7.7227722772277227E-2</v>
      </c>
      <c r="P12" s="35">
        <f>+(P11-'Producción Laminados 2015'!P11)/'Producción Laminados 2015'!P11</f>
        <v>-7.6012543615564684E-2</v>
      </c>
      <c r="S12" s="84"/>
    </row>
    <row r="13" spans="2:22" ht="18" customHeight="1" thickTop="1">
      <c r="B13" s="256" t="s">
        <v>1</v>
      </c>
      <c r="C13" s="31" t="s">
        <v>65</v>
      </c>
      <c r="D13" s="34">
        <v>86.844048000000015</v>
      </c>
      <c r="E13" s="34">
        <v>90.201092999999474</v>
      </c>
      <c r="F13" s="34">
        <v>88.807928999999945</v>
      </c>
      <c r="G13" s="34">
        <v>89.210023999999365</v>
      </c>
      <c r="H13" s="34">
        <v>101.84597199999961</v>
      </c>
      <c r="I13" s="34">
        <v>92.351284999999308</v>
      </c>
      <c r="J13" s="34">
        <v>97.39631400000026</v>
      </c>
      <c r="K13" s="34">
        <v>80.925933999999643</v>
      </c>
      <c r="L13" s="34">
        <v>74.411184000000048</v>
      </c>
      <c r="M13" s="34">
        <v>97.724626999999401</v>
      </c>
      <c r="N13" s="34">
        <v>95.230312999999711</v>
      </c>
      <c r="O13" s="34">
        <v>85.850533006000262</v>
      </c>
      <c r="P13" s="34">
        <f>SUM(D13:O13)</f>
        <v>1080.799256005997</v>
      </c>
      <c r="R13" s="7">
        <f t="shared" ref="R13:R16" si="5">+D13+E13+F13+G13+H13+I13+J13+K13+L13+M13+N13+O13</f>
        <v>1080.799256005997</v>
      </c>
      <c r="S13" s="14"/>
    </row>
    <row r="14" spans="2:22" ht="18" customHeight="1">
      <c r="B14" s="257"/>
      <c r="C14" s="29" t="s">
        <v>59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/>
      <c r="L14" s="34"/>
      <c r="M14" s="34"/>
      <c r="N14" s="34"/>
      <c r="O14" s="34"/>
      <c r="P14" s="34">
        <f>SUM(D14:O14)</f>
        <v>0</v>
      </c>
      <c r="R14" s="7">
        <f t="shared" si="5"/>
        <v>0</v>
      </c>
      <c r="S14" s="14"/>
      <c r="V14" s="2">
        <f>1025/12</f>
        <v>85.416666666666671</v>
      </c>
    </row>
    <row r="15" spans="2:22" ht="18" customHeight="1">
      <c r="B15" s="257"/>
      <c r="C15" s="29" t="s">
        <v>60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/>
      <c r="L15" s="34"/>
      <c r="M15" s="34"/>
      <c r="N15" s="34"/>
      <c r="O15" s="34"/>
      <c r="P15" s="34">
        <f>SUM(D15:O15)</f>
        <v>0</v>
      </c>
      <c r="R15" s="7">
        <f t="shared" si="5"/>
        <v>0</v>
      </c>
    </row>
    <row r="16" spans="2:22" ht="18" customHeight="1">
      <c r="B16" s="257"/>
      <c r="C16" s="29" t="s">
        <v>139</v>
      </c>
      <c r="D16" s="34">
        <f>+D13+D14+D15</f>
        <v>86.844048000000015</v>
      </c>
      <c r="E16" s="34">
        <f>+E13+E14+E15</f>
        <v>90.201092999999474</v>
      </c>
      <c r="F16" s="34">
        <f>+F13+F14+F15</f>
        <v>88.807928999999945</v>
      </c>
      <c r="G16" s="34">
        <f t="shared" ref="G16:P16" si="6">+G13+G14+G15</f>
        <v>89.210023999999365</v>
      </c>
      <c r="H16" s="34">
        <f t="shared" si="6"/>
        <v>101.84597199999961</v>
      </c>
      <c r="I16" s="34">
        <f t="shared" si="6"/>
        <v>92.351284999999308</v>
      </c>
      <c r="J16" s="34">
        <f t="shared" si="6"/>
        <v>97.39631400000026</v>
      </c>
      <c r="K16" s="34">
        <f t="shared" si="6"/>
        <v>80.925933999999643</v>
      </c>
      <c r="L16" s="34">
        <f t="shared" si="6"/>
        <v>74.411184000000048</v>
      </c>
      <c r="M16" s="34">
        <f t="shared" si="6"/>
        <v>97.724626999999401</v>
      </c>
      <c r="N16" s="34">
        <f t="shared" si="6"/>
        <v>95.230312999999711</v>
      </c>
      <c r="O16" s="34">
        <f t="shared" si="6"/>
        <v>85.850533006000262</v>
      </c>
      <c r="P16" s="34">
        <f t="shared" si="6"/>
        <v>1080.799256005997</v>
      </c>
      <c r="R16" s="7">
        <f t="shared" si="5"/>
        <v>1080.799256005997</v>
      </c>
      <c r="S16" s="7">
        <f t="shared" ref="S16" si="7">+D16+E16+F16+G16+H16+I16+J16+K16+L16+M16+N16+O16</f>
        <v>1080.799256005997</v>
      </c>
    </row>
    <row r="17" spans="2:19" ht="18" customHeight="1" thickBot="1">
      <c r="B17" s="258"/>
      <c r="C17" s="32" t="s">
        <v>81</v>
      </c>
      <c r="D17" s="35">
        <f>+(D16-'Producción Laminados 2015'!D16)/'Producción Laminados 2015'!D16</f>
        <v>0.10215176089853434</v>
      </c>
      <c r="E17" s="35">
        <f>+(E16-'Producción Laminados 2015'!E16)/'Producción Laminados 2015'!E16</f>
        <v>2.0784877907823072E-3</v>
      </c>
      <c r="F17" s="35">
        <f>+(F16-'Producción Laminados 2015'!F16)/'Producción Laminados 2015'!F16</f>
        <v>1.8276068062466417E-2</v>
      </c>
      <c r="G17" s="35">
        <f>+(G16-'Producción Laminados 2015'!G16)/'Producción Laminados 2015'!G16</f>
        <v>7.6856511714922943E-2</v>
      </c>
      <c r="H17" s="35">
        <f>+(H16-'Producción Laminados 2015'!H16)/'Producción Laminados 2015'!H16</f>
        <v>0.32641303413515499</v>
      </c>
      <c r="I17" s="35">
        <f>+(I16-'Producción Laminados 2015'!I16)/'Producción Laminados 2015'!I16</f>
        <v>0.34120401702077219</v>
      </c>
      <c r="J17" s="35">
        <f>+(J16-'Producción Laminados 2015'!J16)/'Producción Laminados 2015'!J16</f>
        <v>0.13403171683064857</v>
      </c>
      <c r="K17" s="35">
        <f>+(K16-'Producción Laminados 2015'!K16)/'Producción Laminados 2015'!K16</f>
        <v>-0.15950797640314446</v>
      </c>
      <c r="L17" s="35">
        <f>+(L16-'Producción Laminados 2015'!L16)/'Producción Laminados 2015'!L16</f>
        <v>-0.11841357249484583</v>
      </c>
      <c r="M17" s="35">
        <f>+(M16-'Producción Laminados 2015'!M16)/'Producción Laminados 2015'!M16</f>
        <v>-6.2539551437018906E-2</v>
      </c>
      <c r="N17" s="35">
        <f>+(N16-'Producción Laminados 2015'!N16)/'Producción Laminados 2015'!N16</f>
        <v>-3.1579680107219088E-3</v>
      </c>
      <c r="O17" s="35">
        <f>+(O16-'Producción Laminados 2015'!O16)/'Producción Laminados 2015'!O16</f>
        <v>1.7620466146700698E-2</v>
      </c>
      <c r="P17" s="35">
        <f>+(P16-'Producción Laminados 2015'!P16)/'Producción Laminados 2015'!P16</f>
        <v>4.4027561270488867E-2</v>
      </c>
      <c r="S17" s="84"/>
    </row>
    <row r="18" spans="2:19" ht="18" customHeight="1" thickTop="1">
      <c r="B18" s="256" t="s">
        <v>2</v>
      </c>
      <c r="C18" s="31" t="s">
        <v>65</v>
      </c>
      <c r="D18" s="34">
        <v>109.41583499999999</v>
      </c>
      <c r="E18" s="34">
        <v>117.292563</v>
      </c>
      <c r="F18" s="34">
        <v>116.28969000000001</v>
      </c>
      <c r="G18" s="34">
        <v>101.784327</v>
      </c>
      <c r="H18" s="34">
        <v>111.19200299999999</v>
      </c>
      <c r="I18" s="34">
        <v>115.67821399999998</v>
      </c>
      <c r="J18" s="34">
        <v>90.107138000000006</v>
      </c>
      <c r="K18" s="34">
        <v>122.138133</v>
      </c>
      <c r="L18" s="34">
        <v>119.199</v>
      </c>
      <c r="M18" s="34">
        <v>119.553</v>
      </c>
      <c r="N18" s="34">
        <v>100.556426</v>
      </c>
      <c r="O18" s="34">
        <v>102.483</v>
      </c>
      <c r="P18" s="34">
        <f>SUM(D18:O18)</f>
        <v>1325.689329</v>
      </c>
      <c r="R18" s="7">
        <f t="shared" ref="R18:R21" si="8">+D18+E18+F18+G18+H18+I18+J18+K18+L18+M18+N18+O18</f>
        <v>1325.689329</v>
      </c>
      <c r="S18" s="14"/>
    </row>
    <row r="19" spans="2:19" ht="18" customHeight="1">
      <c r="B19" s="257"/>
      <c r="C19" s="29" t="s">
        <v>59</v>
      </c>
      <c r="D19" s="34">
        <v>24.173878000000002</v>
      </c>
      <c r="E19" s="34">
        <v>41.644404999999999</v>
      </c>
      <c r="F19" s="34">
        <v>42.784904879999999</v>
      </c>
      <c r="G19" s="34">
        <v>39.855213000000006</v>
      </c>
      <c r="H19" s="34">
        <v>42.074719999999999</v>
      </c>
      <c r="I19" s="34">
        <v>38.695234649999996</v>
      </c>
      <c r="J19" s="34">
        <v>34.347516999999996</v>
      </c>
      <c r="K19" s="34">
        <v>31.141470129999991</v>
      </c>
      <c r="L19" s="34">
        <v>38.99040557</v>
      </c>
      <c r="M19" s="34">
        <v>42.759989529999999</v>
      </c>
      <c r="N19" s="34">
        <v>37.771080999999995</v>
      </c>
      <c r="O19" s="34">
        <v>32.396000000000001</v>
      </c>
      <c r="P19" s="34">
        <f>SUM(D19:O19)</f>
        <v>446.63481876000003</v>
      </c>
      <c r="R19" s="7">
        <f t="shared" si="8"/>
        <v>446.63481876000003</v>
      </c>
      <c r="S19" s="14"/>
    </row>
    <row r="20" spans="2:19" ht="18" customHeight="1">
      <c r="B20" s="257"/>
      <c r="C20" s="29" t="s">
        <v>60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0">
        <v>0</v>
      </c>
      <c r="K20" s="30"/>
      <c r="L20" s="30"/>
      <c r="M20" s="30"/>
      <c r="N20" s="30"/>
      <c r="O20" s="34"/>
      <c r="P20" s="34">
        <f>SUM(D20:O20)</f>
        <v>0</v>
      </c>
      <c r="R20" s="7">
        <f t="shared" si="8"/>
        <v>0</v>
      </c>
    </row>
    <row r="21" spans="2:19" ht="18" customHeight="1">
      <c r="B21" s="257"/>
      <c r="C21" s="29" t="s">
        <v>139</v>
      </c>
      <c r="D21" s="34">
        <f t="shared" ref="D21:J21" si="9">+D18+D19+D20</f>
        <v>133.58971299999999</v>
      </c>
      <c r="E21" s="34">
        <f t="shared" si="9"/>
        <v>158.93696800000001</v>
      </c>
      <c r="F21" s="34">
        <f t="shared" si="9"/>
        <v>159.07459488000001</v>
      </c>
      <c r="G21" s="34">
        <f t="shared" si="9"/>
        <v>141.63954000000001</v>
      </c>
      <c r="H21" s="34">
        <f t="shared" si="9"/>
        <v>153.26672299999998</v>
      </c>
      <c r="I21" s="34">
        <f t="shared" si="9"/>
        <v>154.37344864999997</v>
      </c>
      <c r="J21" s="34">
        <f t="shared" si="9"/>
        <v>124.454655</v>
      </c>
      <c r="K21" s="34">
        <f t="shared" ref="K21:P21" si="10">+K18+K19+K20</f>
        <v>153.27960313</v>
      </c>
      <c r="L21" s="34">
        <f t="shared" si="10"/>
        <v>158.18940556999999</v>
      </c>
      <c r="M21" s="34">
        <f>+M18+M19+M20</f>
        <v>162.31298952999998</v>
      </c>
      <c r="N21" s="34">
        <f t="shared" si="10"/>
        <v>138.327507</v>
      </c>
      <c r="O21" s="34">
        <f>+O18+O19+O20</f>
        <v>134.87900000000002</v>
      </c>
      <c r="P21" s="34">
        <f t="shared" si="10"/>
        <v>1772.32414776</v>
      </c>
      <c r="R21" s="7">
        <f t="shared" si="8"/>
        <v>1772.3241477599995</v>
      </c>
      <c r="S21" s="7">
        <f t="shared" ref="S21" si="11">+D21+E21+F21+G21+H21+I21+J21+K21+L21+M21+N21+O21</f>
        <v>1772.3241477599995</v>
      </c>
    </row>
    <row r="22" spans="2:19" ht="18" customHeight="1" thickBot="1">
      <c r="B22" s="258"/>
      <c r="C22" s="32" t="s">
        <v>81</v>
      </c>
      <c r="D22" s="35">
        <f>+(D21-'Producción Laminados 2015'!D21)/'Producción Laminados 2015'!D21</f>
        <v>-0.10927127312005773</v>
      </c>
      <c r="E22" s="35">
        <f>+(E21-'Producción Laminados 2015'!E21)/'Producción Laminados 2015'!E21</f>
        <v>0.1061640416750765</v>
      </c>
      <c r="F22" s="35">
        <f>+(F21-'Producción Laminados 2015'!F21)/'Producción Laminados 2015'!F21</f>
        <v>-7.3099901643165113E-2</v>
      </c>
      <c r="G22" s="35">
        <f>+(G21-'Producción Laminados 2015'!G21)/'Producción Laminados 2015'!G21</f>
        <v>-6.9471007923055619E-2</v>
      </c>
      <c r="H22" s="35">
        <f>+(H21-'Producción Laminados 2015'!H21)/'Producción Laminados 2015'!H21</f>
        <v>-6.9966546721117573E-2</v>
      </c>
      <c r="I22" s="35">
        <f>+(I21-'Producción Laminados 2015'!I21)/'Producción Laminados 2015'!I21</f>
        <v>-3.1303267717523772E-2</v>
      </c>
      <c r="J22" s="35">
        <f>+(J21-'Producción Laminados 2015'!J21)/'Producción Laminados 2015'!J21</f>
        <v>-0.12503142598021641</v>
      </c>
      <c r="K22" s="35">
        <f>+(K21-'Producción Laminados 2015'!K21)/'Producción Laminados 2015'!K21</f>
        <v>-5.0794496414461064E-2</v>
      </c>
      <c r="L22" s="35">
        <f>+(L21-'Producción Laminados 2015'!L21)/'Producción Laminados 2015'!L21</f>
        <v>3.9024522949398358E-2</v>
      </c>
      <c r="M22" s="35">
        <f>+(M21-'Producción Laminados 2015'!M21)/'Producción Laminados 2015'!M21</f>
        <v>-2.6690475582260127E-2</v>
      </c>
      <c r="N22" s="35">
        <f>+(N21-'Producción Laminados 2015'!N21)/'Producción Laminados 2015'!N21</f>
        <v>-0.1313159735741469</v>
      </c>
      <c r="O22" s="35">
        <f>+(O21-'Producción Laminados 2015'!O21)/'Producción Laminados 2015'!O21</f>
        <v>-1.4345011034623826E-2</v>
      </c>
      <c r="P22" s="35">
        <f>+(P21-'Producción Laminados 2015'!P21)/'Producción Laminados 2015'!P21</f>
        <v>-4.7376735110055891E-2</v>
      </c>
      <c r="S22" s="84"/>
    </row>
    <row r="23" spans="2:19" s="3" customFormat="1" ht="18" customHeight="1" thickTop="1">
      <c r="B23" s="256" t="s">
        <v>5</v>
      </c>
      <c r="C23" s="31" t="s">
        <v>65</v>
      </c>
      <c r="D23" s="30">
        <v>31.689083000000004</v>
      </c>
      <c r="E23" s="30">
        <v>33.273537150000003</v>
      </c>
      <c r="F23" s="30">
        <v>34.937760371000003</v>
      </c>
      <c r="G23" s="30">
        <v>33.300126840333341</v>
      </c>
      <c r="H23" s="30">
        <v>33.837141453777782</v>
      </c>
      <c r="I23" s="30">
        <v>30</v>
      </c>
      <c r="J23" s="30">
        <v>31</v>
      </c>
      <c r="K23" s="30">
        <v>32.576806973587303</v>
      </c>
      <c r="L23" s="30">
        <v>30</v>
      </c>
      <c r="M23" s="30">
        <v>32.235976519814059</v>
      </c>
      <c r="N23" s="30">
        <v>29</v>
      </c>
      <c r="O23" s="30">
        <f>+AVERAGE(L23:N23)</f>
        <v>30.411992173271354</v>
      </c>
      <c r="P23" s="30">
        <f>SUM(D23:O23)</f>
        <v>382.26242448178385</v>
      </c>
      <c r="R23" s="7">
        <f t="shared" ref="R23:R26" si="12">+D23+E23+F23+G23+H23+I23+J23+K23+L23+M23+N23+O23</f>
        <v>382.26242448178385</v>
      </c>
      <c r="S23" s="14"/>
    </row>
    <row r="24" spans="2:19" s="3" customFormat="1" ht="18" customHeight="1">
      <c r="B24" s="257"/>
      <c r="C24" s="29" t="s">
        <v>59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f>SUM(D24:O24)</f>
        <v>0</v>
      </c>
      <c r="R24" s="7">
        <f t="shared" si="12"/>
        <v>0</v>
      </c>
      <c r="S24" s="14"/>
    </row>
    <row r="25" spans="2:19" s="3" customFormat="1" ht="18" customHeight="1">
      <c r="B25" s="257"/>
      <c r="C25" s="29" t="s">
        <v>60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f>SUM(D25:O25)</f>
        <v>0</v>
      </c>
      <c r="R25" s="7">
        <f t="shared" si="12"/>
        <v>0</v>
      </c>
      <c r="S25" s="2"/>
    </row>
    <row r="26" spans="2:19" s="3" customFormat="1" ht="18" customHeight="1">
      <c r="B26" s="257"/>
      <c r="C26" s="29" t="s">
        <v>139</v>
      </c>
      <c r="D26" s="30">
        <f>+D23+D24+D25</f>
        <v>31.689083000000004</v>
      </c>
      <c r="E26" s="30">
        <f>+E23+E24+E25</f>
        <v>33.273537150000003</v>
      </c>
      <c r="F26" s="30">
        <f>+F23+F24+F25</f>
        <v>34.937760371000003</v>
      </c>
      <c r="G26" s="30">
        <f t="shared" ref="G26:P26" si="13">+G23+G24+G25</f>
        <v>33.300126840333341</v>
      </c>
      <c r="H26" s="30">
        <f t="shared" si="13"/>
        <v>33.837141453777782</v>
      </c>
      <c r="I26" s="30">
        <f t="shared" si="13"/>
        <v>30</v>
      </c>
      <c r="J26" s="30">
        <f t="shared" si="13"/>
        <v>31</v>
      </c>
      <c r="K26" s="30">
        <f t="shared" si="13"/>
        <v>32.576806973587303</v>
      </c>
      <c r="L26" s="30">
        <f t="shared" si="13"/>
        <v>30</v>
      </c>
      <c r="M26" s="30">
        <f t="shared" si="13"/>
        <v>32.235976519814059</v>
      </c>
      <c r="N26" s="30">
        <f t="shared" si="13"/>
        <v>29</v>
      </c>
      <c r="O26" s="30">
        <f t="shared" si="13"/>
        <v>30.411992173271354</v>
      </c>
      <c r="P26" s="30">
        <f t="shared" si="13"/>
        <v>382.26242448178385</v>
      </c>
      <c r="R26" s="7">
        <f t="shared" si="12"/>
        <v>382.26242448178385</v>
      </c>
      <c r="S26" s="7">
        <f t="shared" ref="S26" si="14">+D26+E26+F26+G26+H26+I26+J26+K26+L26+M26+N26+O26</f>
        <v>382.26242448178385</v>
      </c>
    </row>
    <row r="27" spans="2:19" s="3" customFormat="1" ht="18" customHeight="1" thickBot="1">
      <c r="B27" s="258"/>
      <c r="C27" s="32" t="s">
        <v>81</v>
      </c>
      <c r="D27" s="35">
        <f>+(D26-'Producción Laminados 2015'!D26)/'Producción Laminados 2015'!D26</f>
        <v>3.0000000000000068E-2</v>
      </c>
      <c r="E27" s="35">
        <f>+(E26-'Producción Laminados 2015'!E26)/'Producción Laminados 2015'!E26</f>
        <v>0.03</v>
      </c>
      <c r="F27" s="35">
        <f>+(F26-'Producción Laminados 2015'!F26)/'Producción Laminados 2015'!F26</f>
        <v>3.0000000000000023E-2</v>
      </c>
      <c r="G27" s="35">
        <f>+(G26-'Producción Laminados 2015'!G26)/'Producción Laminados 2015'!G26</f>
        <v>-6.5037431986973149E-2</v>
      </c>
      <c r="H27" s="35">
        <f>+(H26-'Producción Laminados 2015'!H26)/'Producción Laminados 2015'!H26</f>
        <v>-9.5210033442707453E-2</v>
      </c>
      <c r="I27" s="35">
        <f>+(I26-'Producción Laminados 2015'!I26)/'Producción Laminados 2015'!I26</f>
        <v>-0.23602211935990083</v>
      </c>
      <c r="J27" s="35">
        <f>+(J26-'Producción Laminados 2015'!J26)/'Producción Laminados 2015'!J26</f>
        <v>-0.20347626596302618</v>
      </c>
      <c r="K27" s="35">
        <f>+(K26-'Producción Laminados 2015'!K26)/'Producción Laminados 2015'!K26</f>
        <v>-0.20281510459920177</v>
      </c>
      <c r="L27" s="35">
        <f>+(L26-'Producción Laminados 2015'!L26)/'Producción Laminados 2015'!L26</f>
        <v>-0.3008313197178234</v>
      </c>
      <c r="M27" s="35">
        <f>+(M26-'Producción Laminados 2015'!M26)/'Producción Laminados 2015'!M26</f>
        <v>-0.28449149705633814</v>
      </c>
      <c r="N27" s="35">
        <f>+(N26-'Producción Laminados 2015'!N26)/'Producción Laminados 2015'!N26</f>
        <v>-0.38696386264007904</v>
      </c>
      <c r="O27" s="35">
        <f>+(O26-'Producción Laminados 2015'!O26)/'Producción Laminados 2015'!O26</f>
        <v>-0.38773559566139831</v>
      </c>
      <c r="P27" s="35">
        <f>+(P26-'Producción Laminados 2015'!P26)/'Producción Laminados 2015'!P26</f>
        <v>-0.19353113675880582</v>
      </c>
      <c r="R27" s="2"/>
      <c r="S27" s="84"/>
    </row>
    <row r="28" spans="2:19" s="3" customFormat="1" ht="18" customHeight="1" thickTop="1">
      <c r="B28" s="256" t="s">
        <v>9</v>
      </c>
      <c r="C28" s="31" t="s">
        <v>65</v>
      </c>
      <c r="D28" s="30">
        <v>6.3019999999999996</v>
      </c>
      <c r="E28" s="30">
        <v>13.716510000000001</v>
      </c>
      <c r="F28" s="30">
        <v>12.184900000000001</v>
      </c>
      <c r="G28" s="30">
        <f>+AVERAGE(D28:F28)</f>
        <v>10.73447</v>
      </c>
      <c r="H28" s="30">
        <f>+AVERAGE(E28:G28)</f>
        <v>12.211959999999999</v>
      </c>
      <c r="I28" s="30">
        <f>+AVERAGE(F28:H28)</f>
        <v>11.710443333333332</v>
      </c>
      <c r="J28" s="30">
        <f>+AVERAGE(G28:I28)</f>
        <v>11.55229111111111</v>
      </c>
      <c r="K28" s="30">
        <f>+AVERAGE(D28:J28)</f>
        <v>11.201796349206347</v>
      </c>
      <c r="L28" s="30">
        <v>9</v>
      </c>
      <c r="M28" s="30">
        <f>+AVERAGE(F28:L28)</f>
        <v>11.227980113378683</v>
      </c>
      <c r="N28" s="30">
        <v>10</v>
      </c>
      <c r="O28" s="30">
        <f>+AVERAGE(L28:N28)</f>
        <v>10.075993371126229</v>
      </c>
      <c r="P28" s="30">
        <f>SUM(D28:O28)</f>
        <v>129.91834427815567</v>
      </c>
      <c r="R28" s="7">
        <f t="shared" ref="R28:R31" si="15">+D28+E28+F28+G28+H28+I28+J28+K28+L28+M28+N28+O28</f>
        <v>129.91834427815567</v>
      </c>
      <c r="S28" s="14"/>
    </row>
    <row r="29" spans="2:19" s="3" customFormat="1" ht="18" customHeight="1">
      <c r="B29" s="257"/>
      <c r="C29" s="29" t="s">
        <v>59</v>
      </c>
      <c r="D29" s="30">
        <v>0</v>
      </c>
      <c r="E29" s="30">
        <v>0</v>
      </c>
      <c r="F29" s="30">
        <v>0</v>
      </c>
      <c r="G29" s="30">
        <f>+AVERAGE(D29:F29)</f>
        <v>0</v>
      </c>
      <c r="H29" s="30"/>
      <c r="I29" s="30"/>
      <c r="J29" s="30"/>
      <c r="K29" s="30"/>
      <c r="L29" s="30"/>
      <c r="M29" s="30"/>
      <c r="N29" s="30"/>
      <c r="O29" s="30">
        <v>0</v>
      </c>
      <c r="P29" s="30">
        <f>SUM(D29:O29)</f>
        <v>0</v>
      </c>
      <c r="R29" s="7">
        <f t="shared" si="15"/>
        <v>0</v>
      </c>
      <c r="S29" s="14"/>
    </row>
    <row r="30" spans="2:19" s="3" customFormat="1" ht="18" customHeight="1">
      <c r="B30" s="257"/>
      <c r="C30" s="29" t="s">
        <v>60</v>
      </c>
      <c r="D30" s="30">
        <v>0</v>
      </c>
      <c r="E30" s="30">
        <v>0</v>
      </c>
      <c r="F30" s="30">
        <v>0</v>
      </c>
      <c r="G30" s="30"/>
      <c r="H30" s="30"/>
      <c r="I30" s="30"/>
      <c r="J30" s="30"/>
      <c r="K30" s="30"/>
      <c r="L30" s="30"/>
      <c r="M30" s="30"/>
      <c r="N30" s="30"/>
      <c r="O30" s="30">
        <v>0</v>
      </c>
      <c r="P30" s="30">
        <f>SUM(D30:O30)</f>
        <v>0</v>
      </c>
      <c r="R30" s="7">
        <f t="shared" si="15"/>
        <v>0</v>
      </c>
      <c r="S30" s="2"/>
    </row>
    <row r="31" spans="2:19" s="3" customFormat="1" ht="18" customHeight="1">
      <c r="B31" s="257"/>
      <c r="C31" s="29" t="s">
        <v>139</v>
      </c>
      <c r="D31" s="30">
        <f>+D28+D29+D30</f>
        <v>6.3019999999999996</v>
      </c>
      <c r="E31" s="30">
        <f>+E28+E29+E30</f>
        <v>13.716510000000001</v>
      </c>
      <c r="F31" s="30">
        <f>+F28+F29+F30</f>
        <v>12.184900000000001</v>
      </c>
      <c r="G31" s="30">
        <f t="shared" ref="G31:P31" si="16">+G28+G29+G30</f>
        <v>10.73447</v>
      </c>
      <c r="H31" s="30">
        <f t="shared" si="16"/>
        <v>12.211959999999999</v>
      </c>
      <c r="I31" s="30">
        <f t="shared" si="16"/>
        <v>11.710443333333332</v>
      </c>
      <c r="J31" s="30">
        <f t="shared" si="16"/>
        <v>11.55229111111111</v>
      </c>
      <c r="K31" s="30">
        <f t="shared" si="16"/>
        <v>11.201796349206347</v>
      </c>
      <c r="L31" s="30">
        <f t="shared" si="16"/>
        <v>9</v>
      </c>
      <c r="M31" s="30">
        <f t="shared" si="16"/>
        <v>11.227980113378683</v>
      </c>
      <c r="N31" s="30">
        <f t="shared" si="16"/>
        <v>10</v>
      </c>
      <c r="O31" s="30">
        <f t="shared" si="16"/>
        <v>10.075993371126229</v>
      </c>
      <c r="P31" s="30">
        <f t="shared" si="16"/>
        <v>129.91834427815567</v>
      </c>
      <c r="R31" s="7">
        <f t="shared" si="15"/>
        <v>129.91834427815567</v>
      </c>
      <c r="S31" s="7">
        <f t="shared" ref="S31" si="17">+D31+E31+F31+G31+H31+I31+J31+K31+L31+M31+N31+O31</f>
        <v>129.91834427815567</v>
      </c>
    </row>
    <row r="32" spans="2:19" s="3" customFormat="1" ht="18" customHeight="1" thickBot="1">
      <c r="B32" s="258"/>
      <c r="C32" s="32" t="s">
        <v>81</v>
      </c>
      <c r="D32" s="35">
        <f>+(D31-'Producción Laminados 2015'!D31)/'Producción Laminados 2015'!D31</f>
        <v>3.0075187969924692E-2</v>
      </c>
      <c r="E32" s="35">
        <f>+(E31-'Producción Laminados 2015'!E31)/'Producción Laminados 2015'!E31</f>
        <v>3.0000000000000086E-2</v>
      </c>
      <c r="F32" s="35">
        <f>+(F31-'Producción Laminados 2015'!F31)/'Producción Laminados 2015'!F31</f>
        <v>3.0000000000000054E-2</v>
      </c>
      <c r="G32" s="35">
        <f>+(G31-'Producción Laminados 2015'!G31)/'Producción Laminados 2015'!G31</f>
        <v>7.5490431820458878E-2</v>
      </c>
      <c r="H32" s="35">
        <f>+(H31-'Producción Laminados 2015'!H31)/'Producción Laminados 2015'!H31</f>
        <v>-8.6085403474590143E-3</v>
      </c>
      <c r="I32" s="35">
        <f>+(I31-'Producción Laminados 2015'!I31)/'Producción Laminados 2015'!I31</f>
        <v>0.56913350305953803</v>
      </c>
      <c r="J32" s="35">
        <f>+(J31-'Producción Laminados 2015'!J31)/'Producción Laminados 2015'!J31</f>
        <v>9.9903942788832703E-2</v>
      </c>
      <c r="K32" s="35">
        <f>+(K31-'Producción Laminados 2015'!K31)/'Producción Laminados 2015'!K31</f>
        <v>1.5759552884144611E-2</v>
      </c>
      <c r="L32" s="35">
        <f>+(L31-'Producción Laminados 2015'!L31)/'Producción Laminados 2015'!L31</f>
        <v>-0.22273080576906473</v>
      </c>
      <c r="M32" s="35">
        <f>+(M31-'Producción Laminados 2015'!M31)/'Producción Laminados 2015'!M31</f>
        <v>-7.6494479899762838E-2</v>
      </c>
      <c r="N32" s="35">
        <f>+(N31-'Producción Laminados 2015'!N31)/'Producción Laminados 2015'!N31</f>
        <v>-0.2166692777690741</v>
      </c>
      <c r="O32" s="35">
        <f>+(O31-'Producción Laminados 2015'!O31)/'Producción Laminados 2015'!O31</f>
        <v>0.52078988319768005</v>
      </c>
      <c r="P32" s="35">
        <f>+(P31-'Producción Laminados 2015'!P31)/'Producción Laminados 2015'!P31</f>
        <v>3.3669839466893121E-2</v>
      </c>
      <c r="R32" s="2"/>
      <c r="S32" s="84"/>
    </row>
    <row r="33" spans="2:19" s="3" customFormat="1" ht="18" customHeight="1" thickTop="1">
      <c r="B33" s="256" t="s">
        <v>4</v>
      </c>
      <c r="C33" s="31" t="s">
        <v>65</v>
      </c>
      <c r="D33" s="30">
        <v>63.86</v>
      </c>
      <c r="E33" s="30">
        <v>58</v>
      </c>
      <c r="F33" s="30">
        <v>63.199640000000002</v>
      </c>
      <c r="G33" s="30">
        <v>57.51726</v>
      </c>
      <c r="H33" s="30">
        <v>55.403013333333327</v>
      </c>
      <c r="I33" s="30">
        <v>58.373304444444443</v>
      </c>
      <c r="J33" s="30">
        <v>58.097859259259302</v>
      </c>
      <c r="K33" s="30">
        <v>57.277602433862441</v>
      </c>
      <c r="L33" s="30">
        <v>56.337259924414205</v>
      </c>
      <c r="M33" s="30">
        <v>55</v>
      </c>
      <c r="N33" s="30">
        <v>56.715185627901953</v>
      </c>
      <c r="O33" s="30">
        <v>56.01748185077205</v>
      </c>
      <c r="P33" s="30">
        <f>SUM(D33:O33)</f>
        <v>695.79860687398775</v>
      </c>
      <c r="R33" s="7">
        <f t="shared" ref="R33:R36" si="18">+D33+E33+F33+G33+H33+I33+J33+K33+L33+M33+N33+O33</f>
        <v>695.79860687398775</v>
      </c>
      <c r="S33" s="14"/>
    </row>
    <row r="34" spans="2:19" s="3" customFormat="1" ht="18" customHeight="1">
      <c r="B34" s="257"/>
      <c r="C34" s="29" t="s">
        <v>59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/>
      <c r="M34" s="30"/>
      <c r="N34" s="30"/>
      <c r="O34" s="30">
        <v>0</v>
      </c>
      <c r="P34" s="30">
        <f>SUM(D34:O34)</f>
        <v>0</v>
      </c>
      <c r="R34" s="7">
        <f t="shared" si="18"/>
        <v>0</v>
      </c>
      <c r="S34" s="14"/>
    </row>
    <row r="35" spans="2:19" s="3" customFormat="1" ht="18" customHeight="1">
      <c r="B35" s="257"/>
      <c r="C35" s="29" t="s">
        <v>60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/>
      <c r="M35" s="30"/>
      <c r="N35" s="30"/>
      <c r="O35" s="30">
        <v>0</v>
      </c>
      <c r="P35" s="30">
        <f>SUM(D35:O35)</f>
        <v>0</v>
      </c>
      <c r="R35" s="7">
        <f t="shared" si="18"/>
        <v>0</v>
      </c>
      <c r="S35" s="2"/>
    </row>
    <row r="36" spans="2:19" s="3" customFormat="1" ht="18" customHeight="1">
      <c r="B36" s="257"/>
      <c r="C36" s="29" t="s">
        <v>139</v>
      </c>
      <c r="D36" s="30">
        <f>+D33+D34+D35</f>
        <v>63.86</v>
      </c>
      <c r="E36" s="30">
        <f>+E33+E34+E35</f>
        <v>58</v>
      </c>
      <c r="F36" s="30">
        <f>+F33+F34+F35</f>
        <v>63.199640000000002</v>
      </c>
      <c r="G36" s="30">
        <f t="shared" ref="G36:P36" si="19">+G33+G34+G35</f>
        <v>57.51726</v>
      </c>
      <c r="H36" s="30">
        <f t="shared" si="19"/>
        <v>55.403013333333327</v>
      </c>
      <c r="I36" s="30">
        <f t="shared" si="19"/>
        <v>58.373304444444443</v>
      </c>
      <c r="J36" s="30">
        <f t="shared" si="19"/>
        <v>58.097859259259302</v>
      </c>
      <c r="K36" s="30">
        <f t="shared" si="19"/>
        <v>57.277602433862441</v>
      </c>
      <c r="L36" s="30">
        <f t="shared" si="19"/>
        <v>56.337259924414205</v>
      </c>
      <c r="M36" s="30">
        <f t="shared" si="19"/>
        <v>55</v>
      </c>
      <c r="N36" s="30">
        <f t="shared" si="19"/>
        <v>56.715185627901953</v>
      </c>
      <c r="O36" s="30">
        <f t="shared" si="19"/>
        <v>56.01748185077205</v>
      </c>
      <c r="P36" s="30">
        <f t="shared" si="19"/>
        <v>695.79860687398775</v>
      </c>
      <c r="R36" s="7">
        <f t="shared" si="18"/>
        <v>695.79860687398775</v>
      </c>
      <c r="S36" s="7">
        <f t="shared" ref="S36" si="20">+D36+E36+F36+G36+H36+I36+J36+K36+L36+M36+N36+O36</f>
        <v>695.79860687398775</v>
      </c>
    </row>
    <row r="37" spans="2:19" s="3" customFormat="1" ht="18" customHeight="1" thickBot="1">
      <c r="B37" s="258"/>
      <c r="C37" s="32" t="s">
        <v>81</v>
      </c>
      <c r="D37" s="35">
        <f>+(D36-'Producción Laminados 2015'!D36)/'Producción Laminados 2015'!D36</f>
        <v>3.0348989173752405E-2</v>
      </c>
      <c r="E37" s="35">
        <f>+(E36-'Producción Laminados 2015'!E36)/'Producción Laminados 2015'!E36</f>
        <v>0.28494838052195492</v>
      </c>
      <c r="F37" s="35">
        <f>+(F36-'Producción Laminados 2015'!F36)/'Producción Laminados 2015'!F36</f>
        <v>4.6559581373782938E-2</v>
      </c>
      <c r="G37" s="35">
        <f>+(G36-'Producción Laminados 2015'!G36)/'Producción Laminados 2015'!G36</f>
        <v>-2.0482629427792894E-2</v>
      </c>
      <c r="H37" s="35">
        <f>+(H36-'Producción Laminados 2015'!H36)/'Producción Laminados 2015'!H36</f>
        <v>-9.3388752522773247E-2</v>
      </c>
      <c r="I37" s="35">
        <f>+(I36-'Producción Laminados 2015'!I36)/'Producción Laminados 2015'!I36</f>
        <v>-9.027671283164844E-2</v>
      </c>
      <c r="J37" s="35">
        <f>+(J36-'Producción Laminados 2015'!J36)/'Producción Laminados 2015'!J36</f>
        <v>-0.13768131238668765</v>
      </c>
      <c r="K37" s="35">
        <f>+(K36-'Producción Laminados 2015'!K36)/'Producción Laminados 2015'!K36</f>
        <v>-0.1903424729816032</v>
      </c>
      <c r="L37" s="35">
        <f>+(L36-'Producción Laminados 2015'!L36)/'Producción Laminados 2015'!L36</f>
        <v>-0.24155546682264131</v>
      </c>
      <c r="M37" s="35">
        <f>+(M36-'Producción Laminados 2015'!M36)/'Producción Laminados 2015'!M36</f>
        <v>-0.29481755006795396</v>
      </c>
      <c r="N37" s="35">
        <f>+(N36-'Producción Laminados 2015'!N36)/'Producción Laminados 2015'!N36</f>
        <v>-5.1287267102333944E-2</v>
      </c>
      <c r="O37" s="35">
        <f>+(O36-'Producción Laminados 2015'!O36)/'Producción Laminados 2015'!O36</f>
        <v>-5.0094234298259932E-2</v>
      </c>
      <c r="P37" s="35">
        <f>+(P36-'Producción Laminados 2015'!P36)/'Producción Laminados 2015'!P36</f>
        <v>-8.5251633115719289E-2</v>
      </c>
      <c r="R37" s="2"/>
      <c r="S37" s="84"/>
    </row>
    <row r="38" spans="2:19" s="3" customFormat="1" ht="18" customHeight="1" thickTop="1">
      <c r="B38" s="256" t="s">
        <v>10</v>
      </c>
      <c r="C38" s="31" t="s">
        <v>65</v>
      </c>
      <c r="D38" s="30">
        <v>9.6793757660000015</v>
      </c>
      <c r="E38" s="30">
        <v>9.0176500000000015</v>
      </c>
      <c r="F38" s="30">
        <v>10.242130170999999</v>
      </c>
      <c r="G38" s="30">
        <f>+AVERAGE(D38:F38)</f>
        <v>9.6463853123333347</v>
      </c>
      <c r="H38" s="30">
        <v>8</v>
      </c>
      <c r="I38" s="30">
        <f>+AVERAGE(F38:H38)</f>
        <v>9.2961718277777781</v>
      </c>
      <c r="J38" s="30">
        <v>7</v>
      </c>
      <c r="K38" s="30">
        <f>+AVERAGE(D38:J38)</f>
        <v>8.9831018681587302</v>
      </c>
      <c r="L38" s="30">
        <v>8</v>
      </c>
      <c r="M38" s="30">
        <f>+AVERAGE(F38:L38)</f>
        <v>8.7382555970385489</v>
      </c>
      <c r="N38" s="30">
        <v>5</v>
      </c>
      <c r="O38" s="30">
        <v>3</v>
      </c>
      <c r="P38" s="30">
        <f>SUM(D38:O38)</f>
        <v>96.603070542308387</v>
      </c>
      <c r="R38" s="7">
        <f t="shared" ref="R38:R41" si="21">+D38+E38+F38+G38+H38+I38+J38+K38+L38+M38+N38+O38</f>
        <v>96.603070542308387</v>
      </c>
      <c r="S38" s="14"/>
    </row>
    <row r="39" spans="2:19" s="3" customFormat="1" ht="18" customHeight="1">
      <c r="B39" s="257"/>
      <c r="C39" s="29" t="s">
        <v>59</v>
      </c>
      <c r="D39" s="30">
        <v>0</v>
      </c>
      <c r="E39" s="30">
        <v>0</v>
      </c>
      <c r="F39" s="30">
        <v>0</v>
      </c>
      <c r="G39" s="30">
        <f>+AVERAGE(D39:F39)</f>
        <v>0</v>
      </c>
      <c r="H39" s="30"/>
      <c r="I39" s="30"/>
      <c r="J39" s="30"/>
      <c r="K39" s="30"/>
      <c r="L39" s="30"/>
      <c r="M39" s="30"/>
      <c r="N39" s="30"/>
      <c r="O39" s="30">
        <v>0</v>
      </c>
      <c r="P39" s="30">
        <f>SUM(D39:O39)</f>
        <v>0</v>
      </c>
      <c r="R39" s="7">
        <f t="shared" si="21"/>
        <v>0</v>
      </c>
      <c r="S39" s="14"/>
    </row>
    <row r="40" spans="2:19" s="3" customFormat="1" ht="18" customHeight="1">
      <c r="B40" s="257"/>
      <c r="C40" s="29" t="s">
        <v>60</v>
      </c>
      <c r="D40" s="30">
        <v>0</v>
      </c>
      <c r="E40" s="30">
        <v>0</v>
      </c>
      <c r="F40" s="30">
        <v>0</v>
      </c>
      <c r="G40" s="30"/>
      <c r="H40" s="30"/>
      <c r="I40" s="30"/>
      <c r="J40" s="30"/>
      <c r="K40" s="30"/>
      <c r="L40" s="30"/>
      <c r="M40" s="30"/>
      <c r="N40" s="30"/>
      <c r="O40" s="30">
        <v>0</v>
      </c>
      <c r="P40" s="30">
        <f>SUM(D40:O40)</f>
        <v>0</v>
      </c>
      <c r="R40" s="7">
        <f t="shared" si="21"/>
        <v>0</v>
      </c>
      <c r="S40" s="2"/>
    </row>
    <row r="41" spans="2:19" s="3" customFormat="1" ht="18" customHeight="1">
      <c r="B41" s="257"/>
      <c r="C41" s="29" t="s">
        <v>139</v>
      </c>
      <c r="D41" s="30">
        <f>+D38+D39+D40</f>
        <v>9.6793757660000015</v>
      </c>
      <c r="E41" s="30">
        <f>+E38+E39+E40</f>
        <v>9.0176500000000015</v>
      </c>
      <c r="F41" s="30">
        <f>+F38+F39+F40</f>
        <v>10.242130170999999</v>
      </c>
      <c r="G41" s="30">
        <f t="shared" ref="G41:P41" si="22">+G38+G39+G40</f>
        <v>9.6463853123333347</v>
      </c>
      <c r="H41" s="30">
        <f t="shared" si="22"/>
        <v>8</v>
      </c>
      <c r="I41" s="30">
        <f t="shared" si="22"/>
        <v>9.2961718277777781</v>
      </c>
      <c r="J41" s="30">
        <f t="shared" si="22"/>
        <v>7</v>
      </c>
      <c r="K41" s="30">
        <f t="shared" si="22"/>
        <v>8.9831018681587302</v>
      </c>
      <c r="L41" s="30">
        <f t="shared" si="22"/>
        <v>8</v>
      </c>
      <c r="M41" s="30">
        <f t="shared" si="22"/>
        <v>8.7382555970385489</v>
      </c>
      <c r="N41" s="30">
        <f t="shared" si="22"/>
        <v>5</v>
      </c>
      <c r="O41" s="30">
        <f t="shared" si="22"/>
        <v>3</v>
      </c>
      <c r="P41" s="30">
        <f t="shared" si="22"/>
        <v>96.603070542308387</v>
      </c>
      <c r="R41" s="7">
        <f t="shared" si="21"/>
        <v>96.603070542308387</v>
      </c>
      <c r="S41" s="7">
        <f t="shared" ref="S41" si="23">+D41+E41+F41+G41+H41+I41+J41+K41+L41+M41+N41+O41</f>
        <v>96.603070542308387</v>
      </c>
    </row>
    <row r="42" spans="2:19" s="3" customFormat="1" ht="18" customHeight="1" thickBot="1">
      <c r="B42" s="258"/>
      <c r="C42" s="32" t="s">
        <v>81</v>
      </c>
      <c r="D42" s="35">
        <f>+(D41-'Producción Laminados 2015'!D41)/'Producción Laminados 2015'!D41</f>
        <v>2.9999999999999961E-2</v>
      </c>
      <c r="E42" s="35">
        <f>+(E41-'Producción Laminados 2015'!E41)/'Producción Laminados 2015'!E41</f>
        <v>3.0000000000000079E-2</v>
      </c>
      <c r="F42" s="35">
        <f>+(F41-'Producción Laminados 2015'!F41)/'Producción Laminados 2015'!F41</f>
        <v>2.999999999999994E-2</v>
      </c>
      <c r="G42" s="35">
        <f>+(G41-'Producción Laminados 2015'!G41)/'Producción Laminados 2015'!G41</f>
        <v>0.4713015102481124</v>
      </c>
      <c r="H42" s="35">
        <f>+(H41-'Producción Laminados 2015'!H41)/'Producción Laminados 2015'!H41</f>
        <v>-0.28224183580144346</v>
      </c>
      <c r="I42" s="35">
        <f>+(I41-'Producción Laminados 2015'!I41)/'Producción Laminados 2015'!I41</f>
        <v>0.37214743743623391</v>
      </c>
      <c r="J42" s="35">
        <f>+(J41-'Producción Laminados 2015'!J41)/'Producción Laminados 2015'!J41</f>
        <v>-0.19925104806598537</v>
      </c>
      <c r="K42" s="35">
        <f>+(K41-'Producción Laminados 2015'!K41)/'Producción Laminados 2015'!K41</f>
        <v>0.304890595200833</v>
      </c>
      <c r="L42" s="35">
        <f>+(L41-'Producción Laminados 2015'!L41)/'Producción Laminados 2015'!L41</f>
        <v>0.16208464679766293</v>
      </c>
      <c r="M42" s="35">
        <f>+(M41-'Producción Laminados 2015'!M41)/'Producción Laminados 2015'!M41</f>
        <v>0.48087809757886885</v>
      </c>
      <c r="N42" s="35">
        <f>+(N41-'Producción Laminados 2015'!N41)/'Producción Laminados 2015'!N41</f>
        <v>0.14392707419144946</v>
      </c>
      <c r="O42" s="35">
        <f>+(O41-'Producción Laminados 2015'!O41)/'Producción Laminados 2015'!O41</f>
        <v>26.454249780594782</v>
      </c>
      <c r="P42" s="35">
        <f>+(P41-'Producción Laminados 2015'!P41)/'Producción Laminados 2015'!P41</f>
        <v>0.1303306467792846</v>
      </c>
      <c r="R42" s="2"/>
      <c r="S42" s="84"/>
    </row>
    <row r="43" spans="2:19" s="3" customFormat="1" ht="18" customHeight="1" thickTop="1">
      <c r="B43" s="256" t="s">
        <v>11</v>
      </c>
      <c r="C43" s="31" t="s">
        <v>65</v>
      </c>
      <c r="D43" s="30">
        <v>38.245445000000004</v>
      </c>
      <c r="E43" s="30">
        <v>40.157717250000005</v>
      </c>
      <c r="F43" s="30">
        <v>42.166149476000001</v>
      </c>
      <c r="G43" s="30">
        <f>+AVERAGE(D43:F43)</f>
        <v>40.189770575333334</v>
      </c>
      <c r="H43" s="30">
        <f>+AVERAGE(E43:G43)</f>
        <v>40.837879100444447</v>
      </c>
      <c r="I43" s="30">
        <v>36</v>
      </c>
      <c r="J43" s="30">
        <f>+AVERAGE(G43:I43)</f>
        <v>39.009216558592591</v>
      </c>
      <c r="K43" s="30">
        <f>+AVERAGE(D43:J43)</f>
        <v>39.515168280052912</v>
      </c>
      <c r="L43" s="30">
        <v>38</v>
      </c>
      <c r="M43" s="30">
        <f>+AVERAGE(F43:L43)</f>
        <v>39.388311998631892</v>
      </c>
      <c r="N43" s="30">
        <v>41</v>
      </c>
      <c r="O43" s="30">
        <f>+AVERAGE(L43:N43)</f>
        <v>39.462770666210631</v>
      </c>
      <c r="P43" s="30">
        <f>SUM(D43:O43)</f>
        <v>473.97242890526582</v>
      </c>
      <c r="R43" s="7">
        <f t="shared" ref="R43:R46" si="24">+D43+E43+F43+G43+H43+I43+J43+K43+L43+M43+N43+O43</f>
        <v>473.97242890526582</v>
      </c>
      <c r="S43" s="14"/>
    </row>
    <row r="44" spans="2:19" s="3" customFormat="1" ht="18" customHeight="1">
      <c r="B44" s="257"/>
      <c r="C44" s="29" t="s">
        <v>59</v>
      </c>
      <c r="D44" s="30">
        <v>0</v>
      </c>
      <c r="E44" s="30">
        <v>0</v>
      </c>
      <c r="F44" s="30">
        <v>0</v>
      </c>
      <c r="G44" s="30"/>
      <c r="H44" s="30"/>
      <c r="I44" s="30"/>
      <c r="J44" s="30"/>
      <c r="K44" s="30"/>
      <c r="L44" s="30"/>
      <c r="M44" s="30"/>
      <c r="N44" s="30"/>
      <c r="O44" s="30">
        <v>0</v>
      </c>
      <c r="P44" s="30">
        <f>SUM(D44:O44)</f>
        <v>0</v>
      </c>
      <c r="R44" s="7">
        <f t="shared" si="24"/>
        <v>0</v>
      </c>
      <c r="S44" s="14"/>
    </row>
    <row r="45" spans="2:19" s="3" customFormat="1" ht="18" customHeight="1">
      <c r="B45" s="257"/>
      <c r="C45" s="29" t="s">
        <v>60</v>
      </c>
      <c r="D45" s="30">
        <v>0</v>
      </c>
      <c r="E45" s="30">
        <v>0</v>
      </c>
      <c r="F45" s="30">
        <v>0</v>
      </c>
      <c r="G45" s="30"/>
      <c r="H45" s="30"/>
      <c r="I45" s="30"/>
      <c r="J45" s="30"/>
      <c r="K45" s="30"/>
      <c r="L45" s="30"/>
      <c r="M45" s="30"/>
      <c r="N45" s="30"/>
      <c r="O45" s="30">
        <v>0</v>
      </c>
      <c r="P45" s="30">
        <f>SUM(D45:O45)</f>
        <v>0</v>
      </c>
      <c r="R45" s="7">
        <f t="shared" si="24"/>
        <v>0</v>
      </c>
      <c r="S45" s="2"/>
    </row>
    <row r="46" spans="2:19" s="3" customFormat="1" ht="18" customHeight="1">
      <c r="B46" s="257"/>
      <c r="C46" s="29" t="s">
        <v>139</v>
      </c>
      <c r="D46" s="30">
        <f>+D43+D44+D45</f>
        <v>38.245445000000004</v>
      </c>
      <c r="E46" s="30">
        <f>+E43+E44+E45</f>
        <v>40.157717250000005</v>
      </c>
      <c r="F46" s="30">
        <f>+F43+F44+F45</f>
        <v>42.166149476000001</v>
      </c>
      <c r="G46" s="30">
        <f t="shared" ref="G46:P46" si="25">+G43+G44+G45</f>
        <v>40.189770575333334</v>
      </c>
      <c r="H46" s="30">
        <f t="shared" si="25"/>
        <v>40.837879100444447</v>
      </c>
      <c r="I46" s="30">
        <f t="shared" si="25"/>
        <v>36</v>
      </c>
      <c r="J46" s="30">
        <f t="shared" si="25"/>
        <v>39.009216558592591</v>
      </c>
      <c r="K46" s="30">
        <f t="shared" si="25"/>
        <v>39.515168280052912</v>
      </c>
      <c r="L46" s="30">
        <f t="shared" si="25"/>
        <v>38</v>
      </c>
      <c r="M46" s="30">
        <f t="shared" si="25"/>
        <v>39.388311998631892</v>
      </c>
      <c r="N46" s="30">
        <f t="shared" si="25"/>
        <v>41</v>
      </c>
      <c r="O46" s="30">
        <f t="shared" si="25"/>
        <v>39.462770666210631</v>
      </c>
      <c r="P46" s="30">
        <f t="shared" si="25"/>
        <v>473.97242890526582</v>
      </c>
      <c r="R46" s="7">
        <f t="shared" si="24"/>
        <v>473.97242890526582</v>
      </c>
      <c r="S46" s="7">
        <f t="shared" ref="S46" si="26">+D46+E46+F46+G46+H46+I46+J46+K46+L46+M46+N46+O46</f>
        <v>473.97242890526582</v>
      </c>
    </row>
    <row r="47" spans="2:19" s="3" customFormat="1" ht="18" customHeight="1" thickBot="1">
      <c r="B47" s="258"/>
      <c r="C47" s="32" t="s">
        <v>81</v>
      </c>
      <c r="D47" s="35">
        <f>+(D46-'Producción Laminados 2015'!D46)/'Producción Laminados 2015'!D46</f>
        <v>3.0000000000000027E-2</v>
      </c>
      <c r="E47" s="35">
        <f>+(E46-'Producción Laminados 2015'!E46)/'Producción Laminados 2015'!E46</f>
        <v>3.0000000000000065E-2</v>
      </c>
      <c r="F47" s="35">
        <f>+(F46-'Producción Laminados 2015'!F46)/'Producción Laminados 2015'!F46</f>
        <v>2.9999999999999943E-2</v>
      </c>
      <c r="G47" s="35">
        <f>+(G46-'Producción Laminados 2015'!G46)/'Producción Laminados 2015'!G46</f>
        <v>-6.5016824213704583E-2</v>
      </c>
      <c r="H47" s="35">
        <f>+(H46-'Producción Laminados 2015'!H46)/'Producción Laminados 2015'!H46</f>
        <v>-9.5183278617451073E-2</v>
      </c>
      <c r="I47" s="35">
        <f>+(I46-'Producción Laminados 2015'!I46)/'Producción Laminados 2015'!I46</f>
        <v>-0.24035252453962039</v>
      </c>
      <c r="J47" s="35">
        <f>+(J46-'Producción Laminados 2015'!J46)/'Producción Laminados 2015'!J46</f>
        <v>-0.21605986809990441</v>
      </c>
      <c r="K47" s="35">
        <f>+(K46-'Producción Laminados 2015'!K46)/'Producción Laminados 2015'!K46</f>
        <v>-0.24370371033909802</v>
      </c>
      <c r="L47" s="35">
        <f>+(L46-'Producción Laminados 2015'!L46)/'Producción Laminados 2015'!L46</f>
        <v>-0.30733026731096541</v>
      </c>
      <c r="M47" s="35">
        <f>+(M46-'Producción Laminados 2015'!M46)/'Producción Laminados 2015'!M46</f>
        <v>-0.31621891158637877</v>
      </c>
      <c r="N47" s="35">
        <f>+(N46-'Producción Laminados 2015'!N46)/'Producción Laminados 2015'!N46</f>
        <v>-0.32213512463193844</v>
      </c>
      <c r="O47" s="35">
        <f>+(O46-'Producción Laminados 2015'!O46)/'Producción Laminados 2015'!O46</f>
        <v>-0.37862375435488266</v>
      </c>
      <c r="P47" s="35">
        <f>+(P46-'Producción Laminados 2015'!P46)/'Producción Laminados 2015'!P46</f>
        <v>-0.19805911907239437</v>
      </c>
      <c r="R47" s="2"/>
      <c r="S47" s="84"/>
    </row>
    <row r="48" spans="2:19" ht="18" customHeight="1" thickTop="1">
      <c r="B48" s="256" t="s">
        <v>43</v>
      </c>
      <c r="C48" s="31" t="s">
        <v>65</v>
      </c>
      <c r="D48" s="34">
        <v>711.56200000000001</v>
      </c>
      <c r="E48" s="34">
        <v>698.92700000000002</v>
      </c>
      <c r="F48" s="34">
        <v>689.923</v>
      </c>
      <c r="G48" s="34">
        <v>721.08199999999999</v>
      </c>
      <c r="H48" s="34">
        <v>728.65200000000004</v>
      </c>
      <c r="I48" s="34">
        <v>794.09199999999998</v>
      </c>
      <c r="J48" s="34">
        <v>787.74300000000005</v>
      </c>
      <c r="K48" s="34">
        <v>755.14599999999996</v>
      </c>
      <c r="L48" s="34">
        <v>714.75599999999997</v>
      </c>
      <c r="M48" s="34">
        <v>757.08199999999999</v>
      </c>
      <c r="N48" s="34">
        <v>723.83600000000001</v>
      </c>
      <c r="O48" s="34">
        <v>659.173</v>
      </c>
      <c r="P48" s="34">
        <f>SUM(D48:O48)</f>
        <v>8741.974000000002</v>
      </c>
      <c r="R48" s="7">
        <f t="shared" ref="R48:R51" si="27">+D48+E48+F48+G48+H48+I48+J48+K48+L48+M48+N48+O48</f>
        <v>8741.974000000002</v>
      </c>
      <c r="S48" s="14"/>
    </row>
    <row r="49" spans="2:21" ht="18" customHeight="1">
      <c r="B49" s="257"/>
      <c r="C49" s="29" t="s">
        <v>59</v>
      </c>
      <c r="D49" s="34">
        <v>765.92200000000003</v>
      </c>
      <c r="E49" s="34">
        <v>737.83900000000006</v>
      </c>
      <c r="F49" s="34">
        <v>777.86500000000001</v>
      </c>
      <c r="G49" s="34">
        <v>786.99400000000003</v>
      </c>
      <c r="H49" s="34">
        <v>805.65700000000004</v>
      </c>
      <c r="I49" s="34">
        <v>778.447</v>
      </c>
      <c r="J49" s="34">
        <v>773.40499999999997</v>
      </c>
      <c r="K49" s="34">
        <v>765.22</v>
      </c>
      <c r="L49" s="34">
        <v>714.70600000000002</v>
      </c>
      <c r="M49" s="34">
        <v>761.14</v>
      </c>
      <c r="N49" s="34">
        <v>757.726</v>
      </c>
      <c r="O49" s="34">
        <v>728.85900000000004</v>
      </c>
      <c r="P49" s="34">
        <f>SUM(D49:O49)</f>
        <v>9153.7800000000007</v>
      </c>
      <c r="R49" s="7">
        <f t="shared" si="27"/>
        <v>9153.7800000000007</v>
      </c>
      <c r="S49" s="14"/>
    </row>
    <row r="50" spans="2:21" ht="18" customHeight="1">
      <c r="B50" s="257"/>
      <c r="C50" s="29" t="s">
        <v>60</v>
      </c>
      <c r="D50" s="34">
        <v>60.212000000000003</v>
      </c>
      <c r="E50" s="34">
        <v>56.863</v>
      </c>
      <c r="F50" s="34">
        <v>59.216000000000001</v>
      </c>
      <c r="G50" s="34">
        <v>59.481000000000002</v>
      </c>
      <c r="H50" s="34">
        <v>60.917999999999999</v>
      </c>
      <c r="I50" s="34">
        <v>56.783999999999999</v>
      </c>
      <c r="J50" s="34">
        <v>65.256</v>
      </c>
      <c r="K50" s="34">
        <v>67.355000000000004</v>
      </c>
      <c r="L50" s="34">
        <v>65.94</v>
      </c>
      <c r="M50" s="34">
        <v>82.519000000000005</v>
      </c>
      <c r="N50" s="34">
        <v>82.141999999999996</v>
      </c>
      <c r="O50" s="34">
        <v>84.210999999999999</v>
      </c>
      <c r="P50" s="34">
        <f>SUM(D50:O50)</f>
        <v>800.89700000000016</v>
      </c>
      <c r="R50" s="7">
        <f t="shared" si="27"/>
        <v>800.89700000000016</v>
      </c>
    </row>
    <row r="51" spans="2:21" ht="18" customHeight="1">
      <c r="B51" s="257"/>
      <c r="C51" s="29" t="s">
        <v>139</v>
      </c>
      <c r="D51" s="34">
        <f t="shared" ref="D51:P51" si="28">+D48+D49+D50</f>
        <v>1537.6959999999999</v>
      </c>
      <c r="E51" s="34">
        <f t="shared" si="28"/>
        <v>1493.6290000000001</v>
      </c>
      <c r="F51" s="34">
        <f t="shared" si="28"/>
        <v>1527.0039999999999</v>
      </c>
      <c r="G51" s="34">
        <f t="shared" si="28"/>
        <v>1567.557</v>
      </c>
      <c r="H51" s="34">
        <f t="shared" si="28"/>
        <v>1595.2270000000001</v>
      </c>
      <c r="I51" s="34">
        <f t="shared" si="28"/>
        <v>1629.3230000000001</v>
      </c>
      <c r="J51" s="34">
        <f t="shared" si="28"/>
        <v>1626.4040000000002</v>
      </c>
      <c r="K51" s="34">
        <f t="shared" si="28"/>
        <v>1587.721</v>
      </c>
      <c r="L51" s="34">
        <f t="shared" si="28"/>
        <v>1495.402</v>
      </c>
      <c r="M51" s="34">
        <f t="shared" si="28"/>
        <v>1600.741</v>
      </c>
      <c r="N51" s="34">
        <f t="shared" si="28"/>
        <v>1563.704</v>
      </c>
      <c r="O51" s="34">
        <f t="shared" si="28"/>
        <v>1472.2430000000002</v>
      </c>
      <c r="P51" s="34">
        <f t="shared" si="28"/>
        <v>18696.651000000002</v>
      </c>
      <c r="Q51" s="4" t="s">
        <v>17</v>
      </c>
      <c r="R51" s="7">
        <f t="shared" si="27"/>
        <v>18696.650999999998</v>
      </c>
      <c r="S51" s="7">
        <f t="shared" ref="S51" si="29">+D51+E51+F51+G51+H51+I51+J51+K51+L51+M51+N51+O51</f>
        <v>18696.650999999998</v>
      </c>
      <c r="U51" s="14">
        <f>+R51/R81</f>
        <v>0.36837378680123772</v>
      </c>
    </row>
    <row r="52" spans="2:21" ht="18" customHeight="1" thickBot="1">
      <c r="B52" s="258"/>
      <c r="C52" s="32" t="s">
        <v>81</v>
      </c>
      <c r="D52" s="35">
        <f>+(D51-'Producción Laminados 2015'!D51)/'Producción Laminados 2015'!D51</f>
        <v>5.327848078722424E-2</v>
      </c>
      <c r="E52" s="35">
        <f>+(E51-'Producción Laminados 2015'!E51)/'Producción Laminados 2015'!E51</f>
        <v>2.8066156727487274E-2</v>
      </c>
      <c r="F52" s="35">
        <f>+(F51-'Producción Laminados 2015'!F51)/'Producción Laminados 2015'!F51</f>
        <v>6.0982354526985007E-2</v>
      </c>
      <c r="G52" s="35">
        <f>+(G51-'Producción Laminados 2015'!G51)/'Producción Laminados 2015'!G51</f>
        <v>8.2964873834861938E-2</v>
      </c>
      <c r="H52" s="35">
        <f>+(H51-'Producción Laminados 2015'!H51)/'Producción Laminados 2015'!H51</f>
        <v>7.2533993480997025E-2</v>
      </c>
      <c r="I52" s="35">
        <f>+(I51-'Producción Laminados 2015'!I51)/'Producción Laminados 2015'!I51</f>
        <v>0.11413252334838175</v>
      </c>
      <c r="J52" s="35">
        <f>+(J51-'Producción Laminados 2015'!J51)/'Producción Laminados 2015'!J51</f>
        <v>0.10466513392265896</v>
      </c>
      <c r="K52" s="35">
        <f>+(K51-'Producción Laminados 2015'!K51)/'Producción Laminados 2015'!K51</f>
        <v>5.2271562930998411E-2</v>
      </c>
      <c r="L52" s="35">
        <f>+(L51-'Producción Laminados 2015'!L51)/'Producción Laminados 2015'!L51</f>
        <v>-3.1053671027804659E-2</v>
      </c>
      <c r="M52" s="35">
        <f>+(M51-'Producción Laminados 2015'!M51)/'Producción Laminados 2015'!M51</f>
        <v>5.7113158466495395E-2</v>
      </c>
      <c r="N52" s="35">
        <f>+(N51-'Producción Laminados 2015'!N51)/'Producción Laminados 2015'!N51</f>
        <v>0.1079671826585899</v>
      </c>
      <c r="O52" s="35">
        <f>+(O51-'Producción Laminados 2015'!O51)/'Producción Laminados 2015'!O51</f>
        <v>7.1642625411353467E-2</v>
      </c>
      <c r="P52" s="35">
        <f>+(P51-'Producción Laminados 2015'!P51)/'Producción Laminados 2015'!P51</f>
        <v>6.3934876432842278E-2</v>
      </c>
      <c r="S52" s="84"/>
    </row>
    <row r="53" spans="2:21" s="3" customFormat="1" ht="18" customHeight="1" thickTop="1">
      <c r="B53" s="256" t="s">
        <v>6</v>
      </c>
      <c r="C53" s="31" t="s">
        <v>65</v>
      </c>
      <c r="D53" s="30">
        <v>1.3123432724600002</v>
      </c>
      <c r="E53" s="30">
        <v>1.6511214242700003</v>
      </c>
      <c r="F53" s="30">
        <v>1.7332835674000002</v>
      </c>
      <c r="G53" s="30">
        <v>1.5655827547100003</v>
      </c>
      <c r="H53" s="30">
        <v>1.6499959154600001</v>
      </c>
      <c r="I53" s="30">
        <v>1.6496207458566667</v>
      </c>
      <c r="J53" s="30">
        <v>1.6217331386755556</v>
      </c>
      <c r="K53" s="30">
        <v>1.6404499333307407</v>
      </c>
      <c r="L53" s="30">
        <v>1</v>
      </c>
      <c r="M53" s="30">
        <v>3</v>
      </c>
      <c r="N53" s="30">
        <v>1</v>
      </c>
      <c r="O53" s="30">
        <f>+AVERAGE(L53:N53)</f>
        <v>1.6666666666666667</v>
      </c>
      <c r="P53" s="30">
        <f>SUM(D53:O53)</f>
        <v>19.490797418829633</v>
      </c>
      <c r="R53" s="7">
        <f t="shared" ref="R53:R56" si="30">+D53+E53+F53+G53+H53+I53+J53+K53+L53+M53+N53+O53</f>
        <v>19.490797418829633</v>
      </c>
      <c r="S53" s="14"/>
    </row>
    <row r="54" spans="2:21" s="3" customFormat="1" ht="18" customHeight="1">
      <c r="B54" s="257"/>
      <c r="C54" s="29" t="s">
        <v>59</v>
      </c>
      <c r="D54" s="30">
        <v>0</v>
      </c>
      <c r="E54" s="30">
        <v>0</v>
      </c>
      <c r="F54" s="30">
        <v>0</v>
      </c>
      <c r="G54" s="30"/>
      <c r="H54" s="30"/>
      <c r="I54" s="30"/>
      <c r="J54" s="30"/>
      <c r="K54" s="30"/>
      <c r="L54" s="30"/>
      <c r="M54" s="30"/>
      <c r="N54" s="30"/>
      <c r="O54" s="30">
        <v>0</v>
      </c>
      <c r="P54" s="30">
        <f>SUM(D54:O54)</f>
        <v>0</v>
      </c>
      <c r="R54" s="7">
        <f t="shared" si="30"/>
        <v>0</v>
      </c>
      <c r="S54" s="14"/>
    </row>
    <row r="55" spans="2:21" s="3" customFormat="1" ht="18" customHeight="1">
      <c r="B55" s="257"/>
      <c r="C55" s="29" t="s">
        <v>60</v>
      </c>
      <c r="D55" s="30">
        <v>0</v>
      </c>
      <c r="E55" s="30">
        <v>0</v>
      </c>
      <c r="F55" s="30">
        <v>0</v>
      </c>
      <c r="G55" s="30"/>
      <c r="H55" s="30"/>
      <c r="I55" s="30"/>
      <c r="J55" s="30"/>
      <c r="K55" s="30"/>
      <c r="L55" s="30"/>
      <c r="M55" s="30"/>
      <c r="N55" s="30"/>
      <c r="O55" s="30">
        <v>0</v>
      </c>
      <c r="P55" s="30">
        <f>SUM(D55:O55)</f>
        <v>0</v>
      </c>
      <c r="R55" s="7">
        <f t="shared" si="30"/>
        <v>0</v>
      </c>
      <c r="S55" s="2"/>
    </row>
    <row r="56" spans="2:21" s="3" customFormat="1" ht="18" customHeight="1">
      <c r="B56" s="257"/>
      <c r="C56" s="29" t="s">
        <v>139</v>
      </c>
      <c r="D56" s="30">
        <f>+D53+D54+D55</f>
        <v>1.3123432724600002</v>
      </c>
      <c r="E56" s="30">
        <f>+E53+E54+E55</f>
        <v>1.6511214242700003</v>
      </c>
      <c r="F56" s="30">
        <f>+F53+F54+F55</f>
        <v>1.7332835674000002</v>
      </c>
      <c r="G56" s="30">
        <f t="shared" ref="G56:P56" si="31">+G53+G54+G55</f>
        <v>1.5655827547100003</v>
      </c>
      <c r="H56" s="30">
        <f t="shared" si="31"/>
        <v>1.6499959154600001</v>
      </c>
      <c r="I56" s="30">
        <f t="shared" si="31"/>
        <v>1.6496207458566667</v>
      </c>
      <c r="J56" s="30">
        <f t="shared" si="31"/>
        <v>1.6217331386755556</v>
      </c>
      <c r="K56" s="30">
        <f t="shared" si="31"/>
        <v>1.6404499333307407</v>
      </c>
      <c r="L56" s="30">
        <f t="shared" si="31"/>
        <v>1</v>
      </c>
      <c r="M56" s="30">
        <f t="shared" si="31"/>
        <v>3</v>
      </c>
      <c r="N56" s="30">
        <f t="shared" si="31"/>
        <v>1</v>
      </c>
      <c r="O56" s="30">
        <f t="shared" si="31"/>
        <v>1.6666666666666667</v>
      </c>
      <c r="P56" s="30">
        <f t="shared" si="31"/>
        <v>19.490797418829633</v>
      </c>
      <c r="R56" s="7">
        <f t="shared" si="30"/>
        <v>19.490797418829633</v>
      </c>
      <c r="S56" s="7">
        <f t="shared" ref="S56" si="32">+D56+E56+F56+G56+H56+I56+J56+K56+L56+M56+N56+O56</f>
        <v>19.490797418829633</v>
      </c>
    </row>
    <row r="57" spans="2:21" s="3" customFormat="1" ht="18" customHeight="1" thickBot="1">
      <c r="B57" s="258"/>
      <c r="C57" s="32" t="s">
        <v>81</v>
      </c>
      <c r="D57" s="35">
        <f>+(D56-'Producción Laminados 2015'!D56)/'Producción Laminados 2015'!D56</f>
        <v>3.0000000000000096E-2</v>
      </c>
      <c r="E57" s="35">
        <f>+(E56-'Producción Laminados 2015'!E56)/'Producción Laminados 2015'!E56</f>
        <v>2.9999999999999982E-2</v>
      </c>
      <c r="F57" s="35">
        <f>+(F56-'Producción Laminados 2015'!F56)/'Producción Laminados 2015'!F56</f>
        <v>3.000000000000002E-2</v>
      </c>
      <c r="G57" s="35">
        <f>+(G56-'Producción Laminados 2015'!G56)/'Producción Laminados 2015'!G56</f>
        <v>-0.11395794681508956</v>
      </c>
      <c r="H57" s="35">
        <f>+(H56-'Producción Laminados 2015'!H56)/'Producción Laminados 2015'!H56</f>
        <v>-0.11073027090694933</v>
      </c>
      <c r="I57" s="35">
        <f>+(I56-'Producción Laminados 2015'!I56)/'Producción Laminados 2015'!I56</f>
        <v>-0.15331650775845945</v>
      </c>
      <c r="J57" s="35">
        <f>+(J56-'Producción Laminados 2015'!J56)/'Producción Laminados 2015'!J56</f>
        <v>-0.20720322886989562</v>
      </c>
      <c r="K57" s="35">
        <f>+(K56-'Producción Laminados 2015'!K56)/'Producción Laminados 2015'!K56</f>
        <v>-0.23639670698165113</v>
      </c>
      <c r="L57" s="35">
        <f>+(L56-'Producción Laminados 2015'!L56)/'Producción Laminados 2015'!L56</f>
        <v>-0.55661741310408941</v>
      </c>
      <c r="M57" s="35">
        <f>+(M56-'Producción Laminados 2015'!M56)/'Producción Laminados 2015'!M56</f>
        <v>0.26692430921065013</v>
      </c>
      <c r="N57" s="35">
        <f>+(N56-'Producción Laminados 2015'!N56)/'Producción Laminados 2015'!N56</f>
        <v>-0.59773992995465508</v>
      </c>
      <c r="O57" s="35">
        <f>+(O56-'Producción Laminados 2015'!O56)/'Producción Laminados 2015'!O56</f>
        <v>-0.36155876981082768</v>
      </c>
      <c r="P57" s="35">
        <f>+(P56-'Producción Laminados 2015'!P56)/'Producción Laminados 2015'!P56</f>
        <v>-0.1893818991099786</v>
      </c>
      <c r="R57" s="2"/>
      <c r="S57" s="84"/>
    </row>
    <row r="58" spans="2:21" s="3" customFormat="1" ht="18" customHeight="1" thickTop="1">
      <c r="B58" s="262" t="s">
        <v>44</v>
      </c>
      <c r="C58" s="31" t="s">
        <v>65</v>
      </c>
      <c r="D58" s="34">
        <v>112.22230249000003</v>
      </c>
      <c r="E58" s="34">
        <v>115.29411715899994</v>
      </c>
      <c r="F58" s="34">
        <v>121.33280775700001</v>
      </c>
      <c r="G58" s="34">
        <v>123.14192984000009</v>
      </c>
      <c r="H58" s="34">
        <v>114.38192071899996</v>
      </c>
      <c r="I58" s="34">
        <v>132.98778954899996</v>
      </c>
      <c r="J58" s="34">
        <v>104.19327099799995</v>
      </c>
      <c r="K58" s="34">
        <v>116.14813148600014</v>
      </c>
      <c r="L58" s="34">
        <v>93.021525728000071</v>
      </c>
      <c r="M58" s="34">
        <v>115.06658140500005</v>
      </c>
      <c r="N58" s="34">
        <v>106.96905604800017</v>
      </c>
      <c r="O58" s="34">
        <f>+AVERAGE(L58:N58)</f>
        <v>105.01905439366676</v>
      </c>
      <c r="P58" s="34">
        <f>SUM(D58:O58)</f>
        <v>1359.7784875726668</v>
      </c>
      <c r="R58" s="7">
        <f t="shared" ref="R58:R61" si="33">+D58+E58+F58+G58+H58+I58+J58+K58+L58+M58+N58+O58</f>
        <v>1359.7784875726668</v>
      </c>
      <c r="S58" s="14"/>
    </row>
    <row r="59" spans="2:21" s="3" customFormat="1" ht="18" customHeight="1">
      <c r="B59" s="263"/>
      <c r="C59" s="29" t="s">
        <v>59</v>
      </c>
      <c r="D59" s="34">
        <v>4.1734414209999979</v>
      </c>
      <c r="E59" s="34">
        <v>4.7028988369999976</v>
      </c>
      <c r="F59" s="34">
        <v>4.7516059860000013</v>
      </c>
      <c r="G59" s="34">
        <v>5.7333906389999987</v>
      </c>
      <c r="H59" s="34">
        <v>5.7508413400000098</v>
      </c>
      <c r="I59" s="34">
        <v>5.2161829349999973</v>
      </c>
      <c r="J59" s="34">
        <v>4.7190096800000028</v>
      </c>
      <c r="K59" s="34">
        <v>5.1169575669999992</v>
      </c>
      <c r="L59" s="34">
        <v>5.4435446869999931</v>
      </c>
      <c r="M59" s="34">
        <v>5.7353788609999956</v>
      </c>
      <c r="N59" s="34">
        <v>5.9907161480000042</v>
      </c>
      <c r="O59" s="34">
        <v>0</v>
      </c>
      <c r="P59" s="34">
        <f>SUM(D59:O59)</f>
        <v>57.333968100999996</v>
      </c>
      <c r="R59" s="7">
        <f t="shared" si="33"/>
        <v>57.333968100999996</v>
      </c>
      <c r="S59" s="14"/>
    </row>
    <row r="60" spans="2:21" s="3" customFormat="1" ht="18" customHeight="1">
      <c r="B60" s="263"/>
      <c r="C60" s="29" t="s">
        <v>60</v>
      </c>
      <c r="D60" s="34">
        <v>0</v>
      </c>
      <c r="E60" s="34">
        <v>0</v>
      </c>
      <c r="F60" s="34">
        <v>0</v>
      </c>
      <c r="G60" s="34"/>
      <c r="H60" s="34"/>
      <c r="I60" s="34"/>
      <c r="J60" s="34"/>
      <c r="K60" s="34"/>
      <c r="L60" s="34"/>
      <c r="M60" s="34"/>
      <c r="N60" s="34"/>
      <c r="O60" s="34">
        <v>0</v>
      </c>
      <c r="P60" s="34">
        <f>SUM(D60:O60)</f>
        <v>0</v>
      </c>
      <c r="R60" s="7">
        <f t="shared" si="33"/>
        <v>0</v>
      </c>
      <c r="S60" s="2"/>
    </row>
    <row r="61" spans="2:21" s="3" customFormat="1" ht="18" customHeight="1">
      <c r="B61" s="263"/>
      <c r="C61" s="29" t="s">
        <v>139</v>
      </c>
      <c r="D61" s="34">
        <f>+D58+D59+D60</f>
        <v>116.39574391100003</v>
      </c>
      <c r="E61" s="34">
        <f>+E58+E59+E60</f>
        <v>119.99701599599993</v>
      </c>
      <c r="F61" s="34">
        <f>+F58+F59+F60</f>
        <v>126.08441374300001</v>
      </c>
      <c r="G61" s="34">
        <f t="shared" ref="G61:O61" si="34">+G58+G59+G60</f>
        <v>128.8753204790001</v>
      </c>
      <c r="H61" s="34">
        <f t="shared" si="34"/>
        <v>120.13276205899997</v>
      </c>
      <c r="I61" s="34">
        <f t="shared" si="34"/>
        <v>138.20397248399996</v>
      </c>
      <c r="J61" s="34">
        <f t="shared" si="34"/>
        <v>108.91228067799995</v>
      </c>
      <c r="K61" s="34">
        <f t="shared" si="34"/>
        <v>121.26508905300014</v>
      </c>
      <c r="L61" s="34">
        <f t="shared" si="34"/>
        <v>98.465070415000071</v>
      </c>
      <c r="M61" s="34">
        <f t="shared" si="34"/>
        <v>120.80196026600005</v>
      </c>
      <c r="N61" s="34">
        <f t="shared" si="34"/>
        <v>112.95977219600017</v>
      </c>
      <c r="O61" s="34">
        <f t="shared" si="34"/>
        <v>105.01905439366676</v>
      </c>
      <c r="P61" s="34">
        <f>+P58+P59+P60</f>
        <v>1417.1124556736668</v>
      </c>
      <c r="R61" s="7">
        <f t="shared" si="33"/>
        <v>1417.1124556736672</v>
      </c>
      <c r="S61" s="7">
        <f t="shared" ref="S61" si="35">+D61+E61+F61+G61+H61+I61+J61+K61+L61+M61+N61+O61</f>
        <v>1417.1124556736672</v>
      </c>
    </row>
    <row r="62" spans="2:21" s="3" customFormat="1" ht="18" customHeight="1" thickBot="1">
      <c r="B62" s="264"/>
      <c r="C62" s="32" t="s">
        <v>81</v>
      </c>
      <c r="D62" s="35">
        <f>+(D61-'Producción Laminados 2015'!D61)/'Producción Laminados 2015'!D61</f>
        <v>-6.7229683768080875E-2</v>
      </c>
      <c r="E62" s="35">
        <f>+(E61-'Producción Laminados 2015'!E61)/'Producción Laminados 2015'!E61</f>
        <v>7.5193907047174782E-2</v>
      </c>
      <c r="F62" s="35">
        <f>+(F61-'Producción Laminados 2015'!F61)/'Producción Laminados 2015'!F61</f>
        <v>0.22683623694196869</v>
      </c>
      <c r="G62" s="35">
        <f>+(G61-'Producción Laminados 2015'!G61)/'Producción Laminados 2015'!G61</f>
        <v>0.46569148029069352</v>
      </c>
      <c r="H62" s="35">
        <f>+(H61-'Producción Laminados 2015'!H61)/'Producción Laminados 2015'!H61</f>
        <v>0.42052953279570493</v>
      </c>
      <c r="I62" s="35">
        <f>+(I61-'Producción Laminados 2015'!I61)/'Producción Laminados 2015'!I61</f>
        <v>0.15730304628241709</v>
      </c>
      <c r="J62" s="35">
        <f>+(J61-'Producción Laminados 2015'!J61)/'Producción Laminados 2015'!J61</f>
        <v>-0.1922071938261628</v>
      </c>
      <c r="K62" s="35">
        <f>+(K61-'Producción Laminados 2015'!K61)/'Producción Laminados 2015'!K61</f>
        <v>-6.9931746830490707E-2</v>
      </c>
      <c r="L62" s="35">
        <f>+(L61-'Producción Laminados 2015'!L61)/'Producción Laminados 2015'!L61</f>
        <v>-0.13671052959897528</v>
      </c>
      <c r="M62" s="35">
        <f>+(M61-'Producción Laminados 2015'!M61)/'Producción Laminados 2015'!M61</f>
        <v>2.237648120313521E-2</v>
      </c>
      <c r="N62" s="35">
        <f>+(N61-'Producción Laminados 2015'!N61)/'Producción Laminados 2015'!N61</f>
        <v>0.12654478559104998</v>
      </c>
      <c r="O62" s="35">
        <f>+(O61-'Producción Laminados 2015'!O61)/'Producción Laminados 2015'!O61</f>
        <v>-7.6771798353727688E-2</v>
      </c>
      <c r="P62" s="35">
        <f>+(P61-'Producción Laminados 2015'!P61)/'Producción Laminados 2015'!P61</f>
        <v>5.5556019114451308E-2</v>
      </c>
      <c r="R62" s="2"/>
      <c r="S62" s="84"/>
    </row>
    <row r="63" spans="2:21" s="3" customFormat="1" ht="18" customHeight="1" thickTop="1">
      <c r="B63" s="262" t="s">
        <v>64</v>
      </c>
      <c r="C63" s="31" t="s">
        <v>65</v>
      </c>
      <c r="D63" s="30">
        <v>39.97945</v>
      </c>
      <c r="E63" s="30">
        <v>37.125319999999995</v>
      </c>
      <c r="F63" s="30">
        <v>40.156610000000001</v>
      </c>
      <c r="G63" s="30">
        <v>36</v>
      </c>
      <c r="H63" s="30">
        <v>34.013976666666665</v>
      </c>
      <c r="I63" s="30">
        <v>32.976862222222223</v>
      </c>
      <c r="J63" s="30">
        <v>40</v>
      </c>
      <c r="K63" s="30">
        <v>32.524817283950618</v>
      </c>
      <c r="L63" s="30">
        <v>32</v>
      </c>
      <c r="M63" s="30">
        <v>36</v>
      </c>
      <c r="N63" s="30">
        <v>36</v>
      </c>
      <c r="O63" s="30">
        <v>39</v>
      </c>
      <c r="P63" s="30">
        <f>SUM(D63:O63)</f>
        <v>435.77703617283947</v>
      </c>
      <c r="R63" s="7">
        <f t="shared" ref="R63:R66" si="36">+D63+E63+F63+G63+H63+I63+J63+K63+L63+M63+N63+O63</f>
        <v>435.77703617283947</v>
      </c>
      <c r="S63" s="14"/>
      <c r="U63" s="3">
        <f>437.332/12</f>
        <v>36.444333333333333</v>
      </c>
    </row>
    <row r="64" spans="2:21" s="3" customFormat="1" ht="18" customHeight="1">
      <c r="B64" s="263"/>
      <c r="C64" s="29" t="s">
        <v>59</v>
      </c>
      <c r="D64" s="30">
        <v>3.7948333333333331</v>
      </c>
      <c r="E64" s="30">
        <v>3.7948333333333331</v>
      </c>
      <c r="F64" s="30">
        <v>3.7948333333333331</v>
      </c>
      <c r="G64" s="30">
        <v>3.7948333333333331</v>
      </c>
      <c r="H64" s="30">
        <v>3.7948333333333331</v>
      </c>
      <c r="I64" s="30">
        <v>3.7948333333333331</v>
      </c>
      <c r="J64" s="30">
        <v>3.7948333333333331</v>
      </c>
      <c r="K64" s="30">
        <v>3.7948333333333331</v>
      </c>
      <c r="L64" s="30">
        <v>3.7948333333333331</v>
      </c>
      <c r="M64" s="30">
        <v>3.7948333333333331</v>
      </c>
      <c r="N64" s="30">
        <v>3.7948333333333331</v>
      </c>
      <c r="O64" s="30">
        <v>3.7948333333333331</v>
      </c>
      <c r="P64" s="30">
        <f>SUM(D64:O64)</f>
        <v>45.537999999999982</v>
      </c>
      <c r="R64" s="7">
        <f t="shared" si="36"/>
        <v>45.537999999999982</v>
      </c>
      <c r="S64" s="14"/>
    </row>
    <row r="65" spans="2:21" s="3" customFormat="1" ht="18" customHeight="1">
      <c r="B65" s="263"/>
      <c r="C65" s="29" t="s">
        <v>60</v>
      </c>
      <c r="D65" s="30">
        <v>0</v>
      </c>
      <c r="E65" s="30">
        <v>0</v>
      </c>
      <c r="F65" s="30"/>
      <c r="G65" s="30"/>
      <c r="H65" s="30"/>
      <c r="I65" s="30"/>
      <c r="J65" s="30"/>
      <c r="K65" s="30"/>
      <c r="L65" s="30"/>
      <c r="M65" s="30"/>
      <c r="N65" s="30"/>
      <c r="O65" s="30">
        <v>0</v>
      </c>
      <c r="P65" s="30">
        <f>SUM(D65:O65)</f>
        <v>0</v>
      </c>
      <c r="R65" s="7">
        <f t="shared" si="36"/>
        <v>0</v>
      </c>
      <c r="S65" s="2"/>
    </row>
    <row r="66" spans="2:21" s="3" customFormat="1" ht="18" customHeight="1">
      <c r="B66" s="263"/>
      <c r="C66" s="29" t="s">
        <v>139</v>
      </c>
      <c r="D66" s="30">
        <f>+D63+D64+D65</f>
        <v>43.774283333333329</v>
      </c>
      <c r="E66" s="30">
        <f>+E63+E64+E65</f>
        <v>40.920153333333332</v>
      </c>
      <c r="F66" s="30">
        <f>+F63+F64+F65</f>
        <v>43.95144333333333</v>
      </c>
      <c r="G66" s="30">
        <f t="shared" ref="G66:O66" si="37">+G63+G64+G65</f>
        <v>39.79483333333333</v>
      </c>
      <c r="H66" s="30">
        <f t="shared" si="37"/>
        <v>37.808809999999994</v>
      </c>
      <c r="I66" s="30">
        <f t="shared" si="37"/>
        <v>36.771695555555553</v>
      </c>
      <c r="J66" s="30">
        <f t="shared" si="37"/>
        <v>43.79483333333333</v>
      </c>
      <c r="K66" s="30">
        <f t="shared" si="37"/>
        <v>36.319650617283955</v>
      </c>
      <c r="L66" s="30">
        <f t="shared" si="37"/>
        <v>35.79483333333333</v>
      </c>
      <c r="M66" s="30">
        <f t="shared" si="37"/>
        <v>39.79483333333333</v>
      </c>
      <c r="N66" s="30">
        <f t="shared" si="37"/>
        <v>39.79483333333333</v>
      </c>
      <c r="O66" s="30">
        <f t="shared" si="37"/>
        <v>42.79483333333333</v>
      </c>
      <c r="P66" s="30">
        <f>+P63+P64+P65</f>
        <v>481.31503617283943</v>
      </c>
      <c r="R66" s="7">
        <f t="shared" si="36"/>
        <v>481.31503617283937</v>
      </c>
      <c r="S66" s="7">
        <f t="shared" ref="S66" si="38">+D66+E66+F66+G66+H66+I66+J66+K66+L66+M66+N66+O66</f>
        <v>481.31503617283937</v>
      </c>
    </row>
    <row r="67" spans="2:21" s="3" customFormat="1" ht="18" customHeight="1" thickBot="1">
      <c r="B67" s="264"/>
      <c r="C67" s="32" t="s">
        <v>81</v>
      </c>
      <c r="D67" s="35">
        <f>+(D66-'Producción Laminados 2015'!D66)/'Producción Laminados 2015'!D66</f>
        <v>0.12776718622525651</v>
      </c>
      <c r="E67" s="35">
        <f>+(E66-'Producción Laminados 2015'!E66)/'Producción Laminados 2015'!E66</f>
        <v>0.1352833573780195</v>
      </c>
      <c r="F67" s="35">
        <f>+(F66-'Producción Laminados 2015'!F66)/'Producción Laminados 2015'!F66</f>
        <v>0.12733586409144915</v>
      </c>
      <c r="G67" s="35">
        <f>+(G66-'Producción Laminados 2015'!G66)/'Producción Laminados 2015'!G66</f>
        <v>0.56734278587370335</v>
      </c>
      <c r="H67" s="35">
        <f>+(H66-'Producción Laminados 2015'!H66)/'Producción Laminados 2015'!H66</f>
        <v>0.15683413395343127</v>
      </c>
      <c r="I67" s="35">
        <f>+(I66-'Producción Laminados 2015'!I66)/'Producción Laminados 2015'!I66</f>
        <v>-6.6044509916805008E-2</v>
      </c>
      <c r="J67" s="35">
        <f>+(J66-'Producción Laminados 2015'!J66)/'Producción Laminados 2015'!J66</f>
        <v>0.28547457610535459</v>
      </c>
      <c r="K67" s="35">
        <f>+(K66-'Producción Laminados 2015'!K66)/'Producción Laminados 2015'!K66</f>
        <v>-7.229500338993726E-2</v>
      </c>
      <c r="L67" s="35">
        <f>+(L66-'Producción Laminados 2015'!L66)/'Producción Laminados 2015'!L66</f>
        <v>-0.14839090851414796</v>
      </c>
      <c r="M67" s="35">
        <f>+(M66-'Producción Laminados 2015'!M66)/'Producción Laminados 2015'!M66</f>
        <v>-0.20985558467688564</v>
      </c>
      <c r="N67" s="35">
        <f>+(N66-'Producción Laminados 2015'!N66)/'Producción Laminados 2015'!N66</f>
        <v>0.39376692817782749</v>
      </c>
      <c r="O67" s="35">
        <f>+(O66-'Producción Laminados 2015'!O66)/'Producción Laminados 2015'!O66</f>
        <v>1.1128034230231219</v>
      </c>
      <c r="P67" s="35">
        <f>+(P66-'Producción Laminados 2015'!P66)/'Producción Laminados 2015'!P66</f>
        <v>0.1306092042593002</v>
      </c>
      <c r="R67" s="2"/>
      <c r="S67" s="84"/>
    </row>
    <row r="68" spans="2:21" s="3" customFormat="1" ht="18" customHeight="1" thickTop="1">
      <c r="B68" s="262" t="s">
        <v>7</v>
      </c>
      <c r="C68" s="31" t="s">
        <v>65</v>
      </c>
      <c r="D68" s="30">
        <v>4.4119945351999998</v>
      </c>
      <c r="E68" s="30">
        <v>3.54197622507</v>
      </c>
      <c r="F68" s="30">
        <v>7.6748445753900008</v>
      </c>
      <c r="G68" s="30">
        <v>5.2096051118866669</v>
      </c>
      <c r="H68" s="30">
        <v>5.4754753041155553</v>
      </c>
      <c r="I68" s="30">
        <v>9</v>
      </c>
      <c r="J68" s="30">
        <v>8</v>
      </c>
      <c r="K68" s="30">
        <v>7.4918251013718518</v>
      </c>
      <c r="L68" s="30">
        <v>6</v>
      </c>
      <c r="M68" s="30">
        <v>7</v>
      </c>
      <c r="N68" s="30">
        <v>5</v>
      </c>
      <c r="O68" s="30">
        <f>+AVERAGE(L68:N68)</f>
        <v>6</v>
      </c>
      <c r="P68" s="30">
        <f>SUM(D68:O68)</f>
        <v>74.805720853034074</v>
      </c>
      <c r="R68" s="7">
        <f t="shared" ref="R68:R71" si="39">+D68+E68+F68+G68+H68+I68+J68+K68+L68+M68+N68+O68</f>
        <v>74.805720853034074</v>
      </c>
      <c r="S68" s="14"/>
    </row>
    <row r="69" spans="2:21" s="3" customFormat="1" ht="18" customHeight="1">
      <c r="B69" s="263"/>
      <c r="C69" s="29" t="s">
        <v>59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/>
      <c r="M69" s="30"/>
      <c r="N69" s="30"/>
      <c r="O69" s="30"/>
      <c r="P69" s="30">
        <f>SUM(D69:O69)</f>
        <v>0</v>
      </c>
      <c r="R69" s="7">
        <f t="shared" si="39"/>
        <v>0</v>
      </c>
      <c r="S69" s="14"/>
    </row>
    <row r="70" spans="2:21" s="3" customFormat="1" ht="18" customHeight="1">
      <c r="B70" s="263"/>
      <c r="C70" s="29" t="s">
        <v>60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/>
      <c r="M70" s="30"/>
      <c r="N70" s="30"/>
      <c r="O70" s="30"/>
      <c r="P70" s="30">
        <f>SUM(D70:O70)</f>
        <v>0</v>
      </c>
      <c r="R70" s="7">
        <f t="shared" si="39"/>
        <v>0</v>
      </c>
      <c r="S70" s="2"/>
    </row>
    <row r="71" spans="2:21" s="3" customFormat="1" ht="18" customHeight="1">
      <c r="B71" s="263"/>
      <c r="C71" s="29" t="s">
        <v>139</v>
      </c>
      <c r="D71" s="30">
        <f>+D68+D69+D70</f>
        <v>4.4119945351999998</v>
      </c>
      <c r="E71" s="30">
        <f>+E68+E69+E70</f>
        <v>3.54197622507</v>
      </c>
      <c r="F71" s="30">
        <f>+F68+F69+F70</f>
        <v>7.6748445753900008</v>
      </c>
      <c r="G71" s="30">
        <f>+G68+G69+G70</f>
        <v>5.2096051118866669</v>
      </c>
      <c r="H71" s="30">
        <f t="shared" ref="H71:P71" si="40">+H68+H69+H70</f>
        <v>5.4754753041155553</v>
      </c>
      <c r="I71" s="30">
        <f t="shared" si="40"/>
        <v>9</v>
      </c>
      <c r="J71" s="30">
        <f t="shared" si="40"/>
        <v>8</v>
      </c>
      <c r="K71" s="30">
        <f t="shared" si="40"/>
        <v>7.4918251013718518</v>
      </c>
      <c r="L71" s="30">
        <f t="shared" si="40"/>
        <v>6</v>
      </c>
      <c r="M71" s="30">
        <f t="shared" si="40"/>
        <v>7</v>
      </c>
      <c r="N71" s="30">
        <f t="shared" si="40"/>
        <v>5</v>
      </c>
      <c r="O71" s="30">
        <f t="shared" si="40"/>
        <v>6</v>
      </c>
      <c r="P71" s="30">
        <f t="shared" si="40"/>
        <v>74.805720853034074</v>
      </c>
      <c r="R71" s="7">
        <f t="shared" si="39"/>
        <v>74.805720853034074</v>
      </c>
      <c r="S71" s="7">
        <f t="shared" ref="S71" si="41">+D71+E71+F71+G71+H71+I71+J71+K71+L71+M71+N71+O71</f>
        <v>74.805720853034074</v>
      </c>
    </row>
    <row r="72" spans="2:21" s="3" customFormat="1" ht="18" customHeight="1" thickBot="1">
      <c r="B72" s="264"/>
      <c r="C72" s="32" t="s">
        <v>81</v>
      </c>
      <c r="D72" s="35">
        <f>+(D71-'Producción Laminados 2015'!D76)/'Producción Laminados 2015'!D76</f>
        <v>3.0000000000000044E-2</v>
      </c>
      <c r="E72" s="35">
        <f>+(E71-'Producción Laminados 2015'!E76)/'Producción Laminados 2015'!E76</f>
        <v>3.0000000000000054E-2</v>
      </c>
      <c r="F72" s="35">
        <f>+(F71-'Producción Laminados 2015'!F76)/'Producción Laminados 2015'!F76</f>
        <v>2.9999999999999971E-2</v>
      </c>
      <c r="G72" s="35">
        <f>+(G71-'Producción Laminados 2015'!G76)/'Producción Laminados 2015'!G76</f>
        <v>-0.15663777345362351</v>
      </c>
      <c r="H72" s="35">
        <f>+(H71-'Producción Laminados 2015'!H76)/'Producción Laminados 2015'!H76</f>
        <v>-0.37473976097385137</v>
      </c>
      <c r="I72" s="35">
        <f>+(I71-'Producción Laminados 2015'!I76)/'Producción Laminados 2015'!I76</f>
        <v>8.1727729731867094E-2</v>
      </c>
      <c r="J72" s="35">
        <f>+(J71-'Producción Laminados 2015'!J76)/'Producción Laminados 2015'!J76</f>
        <v>-4.5982111698556705E-2</v>
      </c>
      <c r="K72" s="35">
        <f>+(K71-'Producción Laminados 2015'!K76)/'Producción Laminados 2015'!K76</f>
        <v>4.4962131228494338E-4</v>
      </c>
      <c r="L72" s="35">
        <f>+(L71-'Producción Laminados 2015'!L76)/'Producción Laminados 2015'!L76</f>
        <v>-7.7168074601856027E-2</v>
      </c>
      <c r="M72" s="35">
        <f>+(M71-'Producción Laminados 2015'!M76)/'Producción Laminados 2015'!M76</f>
        <v>-9.8128732159352888E-2</v>
      </c>
      <c r="N72" s="35">
        <f>+(N71-'Producción Laminados 2015'!N76)/'Producción Laminados 2015'!N76</f>
        <v>-0.34332544535508069</v>
      </c>
      <c r="O72" s="35">
        <f>+(O71-'Producción Laminados 2015'!O76)/'Producción Laminados 2015'!O76</f>
        <v>0.22618355429186204</v>
      </c>
      <c r="P72" s="35">
        <f>+(P71-'Producción Laminados 2015'!P76)/'Producción Laminados 2015'!P76</f>
        <v>-7.7300668384418195E-2</v>
      </c>
      <c r="R72" s="2"/>
      <c r="S72" s="84"/>
    </row>
    <row r="73" spans="2:21" s="3" customFormat="1" ht="18" customHeight="1" thickTop="1">
      <c r="B73" s="262" t="s">
        <v>3</v>
      </c>
      <c r="C73" s="31" t="s">
        <v>65</v>
      </c>
      <c r="D73" s="34">
        <v>26.390739999999997</v>
      </c>
      <c r="E73" s="34">
        <v>33.942599999999999</v>
      </c>
      <c r="F73" s="34">
        <v>14.903624000000002</v>
      </c>
      <c r="G73" s="34">
        <v>15.201758999999997</v>
      </c>
      <c r="H73" s="34">
        <v>15.159799999999999</v>
      </c>
      <c r="I73" s="34">
        <v>25.428799999999999</v>
      </c>
      <c r="J73" s="34">
        <v>31.689610000000002</v>
      </c>
      <c r="K73" s="34">
        <v>39.603353999999989</v>
      </c>
      <c r="L73" s="34">
        <v>40.395276000000003</v>
      </c>
      <c r="M73" s="34">
        <v>20.616457999999998</v>
      </c>
      <c r="N73" s="34">
        <v>25.813193999999996</v>
      </c>
      <c r="O73" s="34">
        <v>15.740826</v>
      </c>
      <c r="P73" s="34">
        <f>SUM(D73:O73)</f>
        <v>304.88604100000003</v>
      </c>
      <c r="Q73" s="2"/>
      <c r="R73" s="7">
        <f t="shared" ref="R73:R76" si="42">+D73+E73+F73+G73+H73+I73+J73+K73+L73+M73+N73+O73</f>
        <v>304.88604100000003</v>
      </c>
      <c r="S73" s="14"/>
    </row>
    <row r="74" spans="2:21" s="3" customFormat="1" ht="18" customHeight="1">
      <c r="B74" s="263"/>
      <c r="C74" s="29" t="s">
        <v>59</v>
      </c>
      <c r="D74" s="34">
        <v>50.584988000000017</v>
      </c>
      <c r="E74" s="34">
        <v>23.863353000000014</v>
      </c>
      <c r="F74" s="34">
        <v>16.339686</v>
      </c>
      <c r="G74" s="34">
        <v>9.1786959999999986</v>
      </c>
      <c r="H74" s="34">
        <v>1.2678510000000001</v>
      </c>
      <c r="I74" s="34">
        <v>-4.3441000000000174E-2</v>
      </c>
      <c r="J74" s="34">
        <v>2.2007020000000006</v>
      </c>
      <c r="K74" s="34">
        <v>6.4552110000000003</v>
      </c>
      <c r="L74" s="34">
        <v>8.3858999999999989E-2</v>
      </c>
      <c r="M74" s="34">
        <v>48.129755999999965</v>
      </c>
      <c r="N74" s="34">
        <v>6.811875000000013</v>
      </c>
      <c r="O74" s="34">
        <v>59.947302000000022</v>
      </c>
      <c r="P74" s="34">
        <f>SUM(D74:O74)</f>
        <v>224.81983800000006</v>
      </c>
      <c r="Q74" s="2"/>
      <c r="R74" s="7">
        <f t="shared" si="42"/>
        <v>224.81983800000006</v>
      </c>
      <c r="S74" s="14"/>
    </row>
    <row r="75" spans="2:21" s="3" customFormat="1" ht="18" customHeight="1">
      <c r="B75" s="263"/>
      <c r="C75" s="29" t="s">
        <v>60</v>
      </c>
      <c r="D75" s="34">
        <v>0</v>
      </c>
      <c r="E75" s="34">
        <v>0</v>
      </c>
      <c r="F75" s="34">
        <v>0</v>
      </c>
      <c r="G75" s="34"/>
      <c r="H75" s="34"/>
      <c r="I75" s="30"/>
      <c r="J75" s="34"/>
      <c r="K75" s="34"/>
      <c r="L75" s="30"/>
      <c r="M75" s="30"/>
      <c r="N75" s="34"/>
      <c r="O75" s="34"/>
      <c r="P75" s="34">
        <f>SUM(D75:O75)</f>
        <v>0</v>
      </c>
      <c r="Q75" s="2"/>
      <c r="R75" s="7">
        <f t="shared" si="42"/>
        <v>0</v>
      </c>
      <c r="S75" s="2"/>
    </row>
    <row r="76" spans="2:21" s="3" customFormat="1" ht="18" customHeight="1">
      <c r="B76" s="263"/>
      <c r="C76" s="29" t="s">
        <v>139</v>
      </c>
      <c r="D76" s="34">
        <f>+D73+D74+D75</f>
        <v>76.975728000000018</v>
      </c>
      <c r="E76" s="34">
        <f>+E73+E74+E75</f>
        <v>57.805953000000017</v>
      </c>
      <c r="F76" s="34">
        <f>+F73+F74+F75</f>
        <v>31.243310000000001</v>
      </c>
      <c r="G76" s="34">
        <f t="shared" ref="G76:P76" si="43">+G73+G74+G75</f>
        <v>24.380454999999998</v>
      </c>
      <c r="H76" s="34">
        <f t="shared" si="43"/>
        <v>16.427650999999997</v>
      </c>
      <c r="I76" s="34">
        <f t="shared" si="43"/>
        <v>25.385358999999998</v>
      </c>
      <c r="J76" s="34">
        <f t="shared" si="43"/>
        <v>33.890312000000002</v>
      </c>
      <c r="K76" s="34">
        <f t="shared" si="43"/>
        <v>46.058564999999987</v>
      </c>
      <c r="L76" s="34">
        <f t="shared" si="43"/>
        <v>40.479134999999999</v>
      </c>
      <c r="M76" s="34">
        <f t="shared" si="43"/>
        <v>68.746213999999966</v>
      </c>
      <c r="N76" s="34">
        <f t="shared" si="43"/>
        <v>32.625069000000011</v>
      </c>
      <c r="O76" s="34">
        <f t="shared" si="43"/>
        <v>75.68812800000002</v>
      </c>
      <c r="P76" s="34">
        <f t="shared" si="43"/>
        <v>529.7058790000001</v>
      </c>
      <c r="Q76" s="2"/>
      <c r="R76" s="7">
        <f t="shared" si="42"/>
        <v>529.70587899999998</v>
      </c>
      <c r="S76" s="7">
        <f t="shared" ref="S76" si="44">+D76+E76+F76+G76+H76+I76+J76+K76+L76+M76+N76+O76</f>
        <v>529.70587899999998</v>
      </c>
    </row>
    <row r="77" spans="2:21" s="3" customFormat="1" ht="18" customHeight="1" thickBot="1">
      <c r="B77" s="264"/>
      <c r="C77" s="32" t="s">
        <v>81</v>
      </c>
      <c r="D77" s="35">
        <f>+(D76-'Producción Laminados 2015'!D81)/'Producción Laminados 2015'!D81</f>
        <v>-0.39829806925662459</v>
      </c>
      <c r="E77" s="35">
        <f>+(E76-'Producción Laminados 2015'!E81)/'Producción Laminados 2015'!E81</f>
        <v>-0.48445080936454837</v>
      </c>
      <c r="F77" s="35">
        <f>+(F76-'Producción Laminados 2015'!F81)/'Producción Laminados 2015'!F81</f>
        <v>-0.79151250859152389</v>
      </c>
      <c r="G77" s="35">
        <f>+(G76-'Producción Laminados 2015'!G81)/'Producción Laminados 2015'!G81</f>
        <v>-0.7962556617806823</v>
      </c>
      <c r="H77" s="35">
        <f>+(H76-'Producción Laminados 2015'!H81)/'Producción Laminados 2015'!H81</f>
        <v>-0.81408482248955993</v>
      </c>
      <c r="I77" s="35">
        <f>+(I76-'Producción Laminados 2015'!I81)/'Producción Laminados 2015'!I81</f>
        <v>-0.76133504757248704</v>
      </c>
      <c r="J77" s="35">
        <f>+(J76-'Producción Laminados 2015'!J81)/'Producción Laminados 2015'!J81</f>
        <v>-0.62928995843360314</v>
      </c>
      <c r="K77" s="35">
        <f>+(K76-'Producción Laminados 2015'!K81)/'Producción Laminados 2015'!K81</f>
        <v>-0.52528199499087858</v>
      </c>
      <c r="L77" s="35">
        <f>+(L76-'Producción Laminados 2015'!L81)/'Producción Laminados 2015'!L81</f>
        <v>-0.56802903700857987</v>
      </c>
      <c r="M77" s="35">
        <f>+(M76-'Producción Laminados 2015'!M81)/'Producción Laminados 2015'!M81</f>
        <v>-0.26493505410375984</v>
      </c>
      <c r="N77" s="35">
        <f>+(N76-'Producción Laminados 2015'!N81)/'Producción Laminados 2015'!N81</f>
        <v>-0.64475414316513846</v>
      </c>
      <c r="O77" s="35">
        <f>+(O76-'Producción Laminados 2015'!O81)/'Producción Laminados 2015'!O81</f>
        <v>-0.14723367434314277</v>
      </c>
      <c r="P77" s="35">
        <f>+(P76-'Producción Laminados 2015'!P81)/'Producción Laminados 2015'!P81</f>
        <v>-0.5797879376598486</v>
      </c>
      <c r="Q77" s="2"/>
      <c r="R77" s="2"/>
      <c r="S77" s="84"/>
    </row>
    <row r="78" spans="2:21" ht="18" customHeight="1" thickTop="1">
      <c r="B78" s="262" t="s">
        <v>61</v>
      </c>
      <c r="C78" s="31" t="s">
        <v>65</v>
      </c>
      <c r="D78" s="34">
        <f t="shared" ref="D78:O79" si="45">+D3+D8+D13+D18+D23+D28+D33+D38+D43+D48+D53+D58+D63+D68+D73</f>
        <v>2004.7216170636602</v>
      </c>
      <c r="E78" s="34">
        <f t="shared" si="45"/>
        <v>2098.2372052083392</v>
      </c>
      <c r="F78" s="34">
        <f t="shared" si="45"/>
        <v>2121.5863689177904</v>
      </c>
      <c r="G78" s="34">
        <f t="shared" si="45"/>
        <v>2147.1782404345959</v>
      </c>
      <c r="H78" s="34">
        <f t="shared" si="45"/>
        <v>2199.0031374927976</v>
      </c>
      <c r="I78" s="34">
        <f t="shared" si="45"/>
        <v>2258.9714911226338</v>
      </c>
      <c r="J78" s="34">
        <f t="shared" si="45"/>
        <v>2208.7854330656392</v>
      </c>
      <c r="K78" s="34">
        <f t="shared" si="45"/>
        <v>2228.3831207095204</v>
      </c>
      <c r="L78" s="34">
        <f t="shared" si="45"/>
        <v>2040.6452456524141</v>
      </c>
      <c r="M78" s="34">
        <f t="shared" si="45"/>
        <v>2164.2141906338625</v>
      </c>
      <c r="N78" s="34">
        <f t="shared" si="45"/>
        <v>2025.6121746759018</v>
      </c>
      <c r="O78" s="34">
        <f t="shared" si="45"/>
        <v>1604.6643181277138</v>
      </c>
      <c r="P78" s="34">
        <f>SUM(D78:O78)</f>
        <v>25102.002543104863</v>
      </c>
      <c r="Q78" s="5"/>
      <c r="R78" s="7">
        <f t="shared" ref="R78:R81" si="46">+D78+E78+F78+G78+H78+I78+J78+K78+L78+M78+N78+O78</f>
        <v>25102.002543104863</v>
      </c>
      <c r="S78" s="14"/>
      <c r="U78" s="14">
        <f>(P78-'Producción Laminados 2015'!I93)/'Producción Laminados 2015'!I93</f>
        <v>1.2385933947442338</v>
      </c>
    </row>
    <row r="79" spans="2:21" ht="18" customHeight="1">
      <c r="B79" s="263"/>
      <c r="C79" s="29" t="s">
        <v>59</v>
      </c>
      <c r="D79" s="171">
        <f t="shared" si="45"/>
        <v>2020.8821407543335</v>
      </c>
      <c r="E79" s="171">
        <f t="shared" si="45"/>
        <v>1893.7534901703334</v>
      </c>
      <c r="F79" s="171">
        <f t="shared" si="45"/>
        <v>2083.9670301993333</v>
      </c>
      <c r="G79" s="171">
        <f t="shared" si="45"/>
        <v>1912.0291329723332</v>
      </c>
      <c r="H79" s="171">
        <f t="shared" si="45"/>
        <v>1996.0142456733338</v>
      </c>
      <c r="I79" s="171">
        <f t="shared" si="45"/>
        <v>1993.2328099183333</v>
      </c>
      <c r="J79" s="171">
        <f t="shared" si="45"/>
        <v>2119.0210620133334</v>
      </c>
      <c r="K79" s="171">
        <f t="shared" si="45"/>
        <v>1974.3644720303334</v>
      </c>
      <c r="L79" s="171">
        <f t="shared" si="45"/>
        <v>2066.5776425903332</v>
      </c>
      <c r="M79" s="171">
        <f t="shared" si="45"/>
        <v>2249.727957724333</v>
      </c>
      <c r="N79" s="171">
        <f t="shared" si="45"/>
        <v>2129.6755054813334</v>
      </c>
      <c r="O79" s="34">
        <f t="shared" ref="O79" si="47">+O4+O9+O14+O19+O24+O29+O34+O39+O44+O49+O54+O59+O64+O69+O74</f>
        <v>2036.3411353333336</v>
      </c>
      <c r="P79" s="34">
        <f>SUM(D79:O79)</f>
        <v>24475.586624860996</v>
      </c>
      <c r="Q79" s="5"/>
      <c r="R79" s="7">
        <f t="shared" si="46"/>
        <v>24475.586624860996</v>
      </c>
      <c r="S79" s="14"/>
      <c r="U79" s="14">
        <f>(P79-'Producción Laminados 2015'!I94)/'Producción Laminados 2015'!I94</f>
        <v>1.2146134404460607</v>
      </c>
    </row>
    <row r="80" spans="2:21" ht="18" customHeight="1">
      <c r="B80" s="263"/>
      <c r="C80" s="29" t="s">
        <v>60</v>
      </c>
      <c r="D80" s="34">
        <f t="shared" ref="D80:I80" si="48">+D5+D10+D15+D20+D25+D30+D35+D40+D45+D50+D55+D60+D65+D70+D75</f>
        <v>81.873000000000005</v>
      </c>
      <c r="E80" s="34">
        <f t="shared" si="48"/>
        <v>65.628</v>
      </c>
      <c r="F80" s="34">
        <f t="shared" si="48"/>
        <v>71.373999999999995</v>
      </c>
      <c r="G80" s="34">
        <f t="shared" si="48"/>
        <v>83.975999999999999</v>
      </c>
      <c r="H80" s="34">
        <f t="shared" si="48"/>
        <v>97.447000000000003</v>
      </c>
      <c r="I80" s="34">
        <f t="shared" si="48"/>
        <v>92.206999999999994</v>
      </c>
      <c r="J80" s="34">
        <f t="shared" ref="J80:O80" si="49">+J5+J10+J15+J20+J25+J30+J35+J40+J45+J50+J55+J60+J65+J70+J75</f>
        <v>103.858</v>
      </c>
      <c r="K80" s="34">
        <f t="shared" si="49"/>
        <v>102.46000000000001</v>
      </c>
      <c r="L80" s="34">
        <f t="shared" si="49"/>
        <v>106.636</v>
      </c>
      <c r="M80" s="34">
        <f t="shared" si="49"/>
        <v>117.351</v>
      </c>
      <c r="N80" s="34">
        <f t="shared" si="49"/>
        <v>123.93899999999999</v>
      </c>
      <c r="O80" s="34">
        <f t="shared" si="49"/>
        <v>130.226</v>
      </c>
      <c r="P80" s="34">
        <f>SUM(D80:O80)</f>
        <v>1176.9749999999999</v>
      </c>
      <c r="Q80" s="5"/>
      <c r="R80" s="7">
        <f t="shared" si="46"/>
        <v>1176.9749999999999</v>
      </c>
      <c r="U80" s="14">
        <f>(P80-'Producción Laminados 2015'!I95)/'Producción Laminados 2015'!I95</f>
        <v>1.7439919986571171</v>
      </c>
    </row>
    <row r="81" spans="2:21" ht="18" customHeight="1">
      <c r="B81" s="263"/>
      <c r="C81" s="29" t="s">
        <v>139</v>
      </c>
      <c r="D81" s="34">
        <f t="shared" ref="D81:P81" si="50">+D78+D79+D80</f>
        <v>4107.4767578179935</v>
      </c>
      <c r="E81" s="34">
        <f t="shared" si="50"/>
        <v>4057.6186953786728</v>
      </c>
      <c r="F81" s="34">
        <f t="shared" si="50"/>
        <v>4276.9273991171231</v>
      </c>
      <c r="G81" s="34">
        <f t="shared" si="50"/>
        <v>4143.1833734069287</v>
      </c>
      <c r="H81" s="34">
        <f t="shared" si="50"/>
        <v>4292.4643831661315</v>
      </c>
      <c r="I81" s="34">
        <f t="shared" si="50"/>
        <v>4344.4113010409674</v>
      </c>
      <c r="J81" s="34">
        <f t="shared" si="50"/>
        <v>4431.6644950789723</v>
      </c>
      <c r="K81" s="34">
        <f t="shared" si="50"/>
        <v>4305.2075927398537</v>
      </c>
      <c r="L81" s="34">
        <f t="shared" si="50"/>
        <v>4213.8588882427475</v>
      </c>
      <c r="M81" s="34">
        <f t="shared" si="50"/>
        <v>4531.2931483581951</v>
      </c>
      <c r="N81" s="34">
        <f t="shared" si="50"/>
        <v>4279.226680157235</v>
      </c>
      <c r="O81" s="34">
        <f t="shared" si="50"/>
        <v>3771.2314534610473</v>
      </c>
      <c r="P81" s="34">
        <f t="shared" si="50"/>
        <v>50754.564167965858</v>
      </c>
      <c r="Q81" s="5"/>
      <c r="R81" s="7">
        <f t="shared" si="46"/>
        <v>50754.564167965866</v>
      </c>
      <c r="S81" s="7">
        <f t="shared" ref="S81" si="51">+D81+E81+F81+G81+H81+I81+J81+K81+L81+M81+N81+O81</f>
        <v>50754.564167965866</v>
      </c>
      <c r="U81" s="14">
        <f>(P81-'Producción Laminados 2015'!I96)/'Producción Laminados 2015'!I96</f>
        <v>1.2364675815374964</v>
      </c>
    </row>
    <row r="82" spans="2:21" ht="18" customHeight="1" thickBot="1">
      <c r="B82" s="264"/>
      <c r="C82" s="32" t="s">
        <v>81</v>
      </c>
      <c r="D82" s="35">
        <f>+(D81-'Producción Laminados 2015'!D86)/'Producción Laminados 2015'!D86</f>
        <v>-9.4617134312498893E-2</v>
      </c>
      <c r="E82" s="35">
        <f>+(E81-'Producción Laminados 2015'!E86)/'Producción Laminados 2015'!E86</f>
        <v>-8.8745051845735654E-2</v>
      </c>
      <c r="F82" s="35">
        <f>+(F81-'Producción Laminados 2015'!F86)/'Producción Laminados 2015'!F86</f>
        <v>-9.7929001154506035E-2</v>
      </c>
      <c r="G82" s="35">
        <f>+(G81-'Producción Laminados 2015'!G86)/'Producción Laminados 2015'!G86</f>
        <v>-8.8274587833255092E-2</v>
      </c>
      <c r="H82" s="35">
        <f>+(H81-'Producción Laminados 2015'!H86)/'Producción Laminados 2015'!H86</f>
        <v>-2.8634790385496725E-2</v>
      </c>
      <c r="I82" s="35">
        <f>+(I81-'Producción Laminados 2015'!I86)/'Producción Laminados 2015'!I86</f>
        <v>-1.3016552166385925E-2</v>
      </c>
      <c r="J82" s="35">
        <f>+(J81-'Producción Laminados 2015'!J86)/'Producción Laminados 2015'!J86</f>
        <v>-1.7192505525169401E-2</v>
      </c>
      <c r="K82" s="35">
        <f>+(K81-'Producción Laminados 2015'!K86)/'Producción Laminados 2015'!K86</f>
        <v>-4.3016250659166193E-2</v>
      </c>
      <c r="L82" s="35">
        <f>+(L81-'Producción Laminados 2015'!L86)/'Producción Laminados 2015'!L86</f>
        <v>-1.3632352850211702E-2</v>
      </c>
      <c r="M82" s="35">
        <f>+(M81-'Producción Laminados 2015'!M86)/'Producción Laminados 2015'!M86</f>
        <v>-1.3352294394646453E-2</v>
      </c>
      <c r="N82" s="35">
        <f>+(N81-'Producción Laminados 2015'!N86)/'Producción Laminados 2015'!N86</f>
        <v>-1.8780207404581674E-2</v>
      </c>
      <c r="O82" s="35">
        <f>+(O81-'Producción Laminados 2015'!O86)/'Producción Laminados 2015'!O86</f>
        <v>-4.1864244005103954E-2</v>
      </c>
      <c r="P82" s="35">
        <f>+(P81-'Producción Laminados 2015'!P86)/'Producción Laminados 2015'!P86</f>
        <v>-4.7140868044203879E-2</v>
      </c>
      <c r="Q82" s="6"/>
      <c r="S82" s="84"/>
    </row>
    <row r="83" spans="2:21" s="3" customFormat="1" ht="18" customHeight="1" thickTop="1">
      <c r="B83" s="2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21" s="3" customFormat="1" ht="18" customHeight="1">
      <c r="B84" s="25" t="s">
        <v>19</v>
      </c>
      <c r="C84" s="25" t="s">
        <v>19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21" s="3" customFormat="1" ht="18" customHeight="1">
      <c r="B85" s="26" t="s">
        <v>12</v>
      </c>
      <c r="C85" s="26" t="s">
        <v>12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4"/>
      <c r="Q85" s="2"/>
      <c r="R85" s="2"/>
      <c r="S85" s="2"/>
    </row>
    <row r="86" spans="2:21" s="3" customFormat="1" ht="18" customHeight="1">
      <c r="B86" s="2" t="s">
        <v>18</v>
      </c>
      <c r="C86" s="2"/>
      <c r="D86" s="7">
        <f>+D3+D8+D13+D18+D23+D28+D33+D38+D43+D48+D53+D58+D63+D68+D73</f>
        <v>2004.7216170636602</v>
      </c>
      <c r="E86" s="7">
        <f t="shared" ref="E86:P86" si="52">+E3+E8+E13+E18+E23+E28+E33+E38+E43+E48+E53+E58+E63+E68+E73</f>
        <v>2098.2372052083392</v>
      </c>
      <c r="F86" s="7">
        <f t="shared" si="52"/>
        <v>2121.5863689177904</v>
      </c>
      <c r="G86" s="7">
        <f t="shared" si="52"/>
        <v>2147.1782404345959</v>
      </c>
      <c r="H86" s="7">
        <f t="shared" si="52"/>
        <v>2199.0031374927976</v>
      </c>
      <c r="I86" s="7">
        <f t="shared" si="52"/>
        <v>2258.9714911226338</v>
      </c>
      <c r="J86" s="7">
        <f t="shared" si="52"/>
        <v>2208.7854330656392</v>
      </c>
      <c r="K86" s="7">
        <f t="shared" si="52"/>
        <v>2228.3831207095204</v>
      </c>
      <c r="L86" s="7">
        <f t="shared" si="52"/>
        <v>2040.6452456524141</v>
      </c>
      <c r="M86" s="7">
        <f t="shared" si="52"/>
        <v>2164.2141906338625</v>
      </c>
      <c r="N86" s="7">
        <f t="shared" si="52"/>
        <v>2025.6121746759018</v>
      </c>
      <c r="O86" s="7">
        <f t="shared" si="52"/>
        <v>1604.6643181277138</v>
      </c>
      <c r="P86" s="7">
        <f t="shared" si="52"/>
        <v>25102.002543104874</v>
      </c>
      <c r="Q86" s="2"/>
      <c r="R86" s="2"/>
      <c r="S86" s="2"/>
    </row>
    <row r="87" spans="2:21" ht="18" customHeight="1">
      <c r="F87" s="14">
        <f>+(H81-G81)/G81</f>
        <v>3.60305099497562E-2</v>
      </c>
      <c r="G87" s="14"/>
      <c r="H87" s="14"/>
      <c r="I87" s="14"/>
      <c r="J87" s="14"/>
      <c r="K87" s="14"/>
      <c r="L87" s="14"/>
      <c r="M87" s="14"/>
      <c r="N87" s="14"/>
      <c r="O87" s="14"/>
    </row>
    <row r="93" spans="2:21">
      <c r="H93" s="14">
        <f>(H78-'Producción Laminados 2015'!H83)/'Producción Laminados 2015'!H83</f>
        <v>-2.4515902881106087E-2</v>
      </c>
      <c r="I93" s="14"/>
      <c r="J93" s="14"/>
      <c r="K93" s="14"/>
      <c r="L93" s="14"/>
      <c r="M93" s="14"/>
      <c r="N93" s="14"/>
      <c r="O93" s="14"/>
    </row>
    <row r="94" spans="2:21">
      <c r="H94" s="14">
        <f>(H79-'Producción Laminados 2015'!H84)/'Producción Laminados 2015'!H84</f>
        <v>-4.8595976164861651E-2</v>
      </c>
      <c r="I94" s="14"/>
      <c r="J94" s="14"/>
      <c r="K94" s="14"/>
      <c r="L94" s="14"/>
      <c r="M94" s="14"/>
      <c r="N94" s="14"/>
      <c r="O94" s="14"/>
    </row>
    <row r="95" spans="2:21">
      <c r="H95" s="14">
        <f>(H80-'Producción Laminados 2015'!H85)/'Producción Laminados 2015'!H85</f>
        <v>0.45953029985321892</v>
      </c>
      <c r="I95" s="14"/>
      <c r="J95" s="14"/>
      <c r="K95" s="14"/>
      <c r="L95" s="14"/>
      <c r="M95" s="14"/>
      <c r="N95" s="14"/>
      <c r="O95" s="14"/>
    </row>
    <row r="96" spans="2:21">
      <c r="H96" s="14">
        <f>(H81-'Producción Laminados 2015'!H86)/'Producción Laminados 2015'!H86</f>
        <v>-2.8634790385496725E-2</v>
      </c>
      <c r="I96" s="14"/>
      <c r="J96" s="14"/>
      <c r="K96" s="14"/>
      <c r="L96" s="14"/>
      <c r="M96" s="14"/>
      <c r="N96" s="14"/>
      <c r="O96" s="14"/>
    </row>
  </sheetData>
  <mergeCells count="16">
    <mergeCell ref="B68:B72"/>
    <mergeCell ref="B73:B77"/>
    <mergeCell ref="B78:B82"/>
    <mergeCell ref="B58:B6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63:B67"/>
  </mergeCells>
  <hyperlinks>
    <hyperlink ref="P1" location="Índice!A1" display="Í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97"/>
  <sheetViews>
    <sheetView zoomScale="70" zoomScaleNormal="70" workbookViewId="0">
      <pane xSplit="3" ySplit="2" topLeftCell="G72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20" s="8" customFormat="1" ht="38.25" customHeight="1" thickBot="1">
      <c r="B1" s="22" t="s">
        <v>140</v>
      </c>
      <c r="O1" s="9"/>
      <c r="P1" s="87" t="s">
        <v>111</v>
      </c>
    </row>
    <row r="2" spans="2:20" ht="30" customHeight="1" thickTop="1">
      <c r="B2" s="33" t="s">
        <v>36</v>
      </c>
      <c r="C2" s="21" t="s">
        <v>23</v>
      </c>
      <c r="D2" s="50" t="s">
        <v>27</v>
      </c>
      <c r="E2" s="50" t="s">
        <v>28</v>
      </c>
      <c r="F2" s="50" t="s">
        <v>26</v>
      </c>
      <c r="G2" s="50" t="s">
        <v>22</v>
      </c>
      <c r="H2" s="50" t="s">
        <v>29</v>
      </c>
      <c r="I2" s="50" t="s">
        <v>30</v>
      </c>
      <c r="J2" s="50" t="s">
        <v>31</v>
      </c>
      <c r="K2" s="50" t="s">
        <v>32</v>
      </c>
      <c r="L2" s="50" t="s">
        <v>33</v>
      </c>
      <c r="M2" s="50" t="s">
        <v>24</v>
      </c>
      <c r="N2" s="50" t="s">
        <v>34</v>
      </c>
      <c r="O2" s="50" t="s">
        <v>35</v>
      </c>
      <c r="P2" s="50" t="s">
        <v>25</v>
      </c>
      <c r="R2" s="36" t="s">
        <v>98</v>
      </c>
      <c r="T2" s="36" t="s">
        <v>97</v>
      </c>
    </row>
    <row r="3" spans="2:20" ht="18" customHeight="1" thickBot="1">
      <c r="B3" s="259" t="s">
        <v>0</v>
      </c>
      <c r="C3" s="29" t="s">
        <v>65</v>
      </c>
      <c r="D3" s="34">
        <f>116206/1000</f>
        <v>116.206</v>
      </c>
      <c r="E3" s="34">
        <f>113967/1000</f>
        <v>113.967</v>
      </c>
      <c r="F3" s="34">
        <f>152138/1000</f>
        <v>152.13800000000001</v>
      </c>
      <c r="G3" s="34">
        <f>139770/1000</f>
        <v>139.77000000000001</v>
      </c>
      <c r="H3" s="34">
        <f>141635/1000</f>
        <v>141.63499999999999</v>
      </c>
      <c r="I3" s="34">
        <f>138974/1000</f>
        <v>138.97399999999999</v>
      </c>
      <c r="J3" s="34">
        <f>137294/1000</f>
        <v>137.29400000000001</v>
      </c>
      <c r="K3" s="34">
        <f>150854/1000</f>
        <v>150.85400000000001</v>
      </c>
      <c r="L3" s="34">
        <f>143795/1000</f>
        <v>143.79499999999999</v>
      </c>
      <c r="M3" s="34">
        <f>151196/1000</f>
        <v>151.196</v>
      </c>
      <c r="N3" s="34">
        <f>141656/1000</f>
        <v>141.65600000000001</v>
      </c>
      <c r="O3" s="34">
        <f>128414/1000</f>
        <v>128.41399999999999</v>
      </c>
      <c r="P3" s="34">
        <f>SUM(D3:O3)</f>
        <v>1655.8989999999999</v>
      </c>
      <c r="R3" s="7"/>
      <c r="T3" s="7">
        <f>+D3+E3+F3+G3</f>
        <v>522.08100000000002</v>
      </c>
    </row>
    <row r="4" spans="2:20" ht="18" customHeight="1" thickTop="1" thickBot="1">
      <c r="B4" s="260"/>
      <c r="C4" s="29" t="s">
        <v>59</v>
      </c>
      <c r="D4" s="34">
        <f>219004/1000</f>
        <v>219.00399999999999</v>
      </c>
      <c r="E4" s="34">
        <f>200381/1000</f>
        <v>200.381</v>
      </c>
      <c r="F4" s="34">
        <f>207849/1000</f>
        <v>207.84899999999999</v>
      </c>
      <c r="G4" s="34">
        <f>221697/1000</f>
        <v>221.697</v>
      </c>
      <c r="H4" s="34">
        <f>205514/1000</f>
        <v>205.51400000000001</v>
      </c>
      <c r="I4" s="34">
        <f>225390/1000</f>
        <v>225.39</v>
      </c>
      <c r="J4" s="34">
        <f>240724/1000</f>
        <v>240.72399999999999</v>
      </c>
      <c r="K4" s="34">
        <f>215341/1000</f>
        <v>215.34100000000001</v>
      </c>
      <c r="L4" s="34">
        <f>152914/1000</f>
        <v>152.91399999999999</v>
      </c>
      <c r="M4" s="34">
        <f>224543/1000</f>
        <v>224.54300000000001</v>
      </c>
      <c r="N4" s="34">
        <f>227383/1000</f>
        <v>227.38300000000001</v>
      </c>
      <c r="O4" s="34">
        <f>215013/1000</f>
        <v>215.01300000000001</v>
      </c>
      <c r="P4" s="34">
        <f>SUM(D4:O4)</f>
        <v>2555.7529999999997</v>
      </c>
      <c r="R4" s="7"/>
      <c r="T4" s="7">
        <f>+D4+E4+F4+G4</f>
        <v>848.93099999999993</v>
      </c>
    </row>
    <row r="5" spans="2:20" ht="18" customHeight="1" thickTop="1" thickBot="1">
      <c r="B5" s="260"/>
      <c r="C5" s="29" t="s">
        <v>60</v>
      </c>
      <c r="D5" s="34">
        <f>36375/1000</f>
        <v>36.375</v>
      </c>
      <c r="E5" s="34">
        <v>24.288</v>
      </c>
      <c r="F5" s="34">
        <f>35764/1000</f>
        <v>35.764000000000003</v>
      </c>
      <c r="G5" s="34">
        <v>27.484999999999999</v>
      </c>
      <c r="H5" s="34">
        <v>19.021000000000001</v>
      </c>
      <c r="I5" s="34">
        <v>24.068000000000001</v>
      </c>
      <c r="J5" s="34">
        <v>28.882999999999999</v>
      </c>
      <c r="K5" s="34">
        <v>29.399000000000001</v>
      </c>
      <c r="L5" s="34">
        <f>39958/1000</f>
        <v>39.957999999999998</v>
      </c>
      <c r="M5" s="34">
        <f>36425/1000</f>
        <v>36.424999999999997</v>
      </c>
      <c r="N5" s="34">
        <v>29.209</v>
      </c>
      <c r="O5" s="34">
        <v>28.972999999999999</v>
      </c>
      <c r="P5" s="34">
        <f>SUM(D5:O5)</f>
        <v>359.84800000000001</v>
      </c>
      <c r="R5" s="7"/>
      <c r="T5" s="7">
        <f>+D5+E5+F5+G5</f>
        <v>123.91199999999999</v>
      </c>
    </row>
    <row r="6" spans="2:20" ht="18" customHeight="1" thickTop="1" thickBot="1">
      <c r="B6" s="260"/>
      <c r="C6" s="29" t="s">
        <v>139</v>
      </c>
      <c r="D6" s="34">
        <f t="shared" ref="D6:N6" si="0">+D3+D4+D5</f>
        <v>371.58499999999998</v>
      </c>
      <c r="E6" s="34">
        <f t="shared" si="0"/>
        <v>338.63600000000002</v>
      </c>
      <c r="F6" s="34">
        <f t="shared" si="0"/>
        <v>395.75099999999998</v>
      </c>
      <c r="G6" s="34">
        <f t="shared" si="0"/>
        <v>388.952</v>
      </c>
      <c r="H6" s="34">
        <f t="shared" si="0"/>
        <v>366.17</v>
      </c>
      <c r="I6" s="34">
        <f t="shared" si="0"/>
        <v>388.43199999999996</v>
      </c>
      <c r="J6" s="34">
        <f t="shared" si="0"/>
        <v>406.90100000000001</v>
      </c>
      <c r="K6" s="34">
        <f t="shared" si="0"/>
        <v>395.59400000000005</v>
      </c>
      <c r="L6" s="34">
        <f t="shared" si="0"/>
        <v>336.66699999999992</v>
      </c>
      <c r="M6" s="34">
        <f t="shared" si="0"/>
        <v>412.16400000000004</v>
      </c>
      <c r="N6" s="34">
        <f t="shared" si="0"/>
        <v>398.24799999999999</v>
      </c>
      <c r="O6" s="34">
        <f>+O3+O4+O5</f>
        <v>372.40000000000003</v>
      </c>
      <c r="P6" s="34">
        <f>SUM(D6:O6)</f>
        <v>4571.4999999999991</v>
      </c>
      <c r="R6" s="7">
        <f>+D6+E6+F6+G6+H6</f>
        <v>1861.0940000000001</v>
      </c>
      <c r="T6" s="7">
        <f>+D6+E6+F6+G6</f>
        <v>1494.924</v>
      </c>
    </row>
    <row r="7" spans="2:20" ht="18" customHeight="1" thickTop="1" thickBot="1">
      <c r="B7" s="260"/>
      <c r="C7" s="32" t="s">
        <v>67</v>
      </c>
      <c r="D7" s="35">
        <f>+(D6-'Producción Laminados 2014'!D6)/'Producción Laminados 2014'!D6</f>
        <v>-4.6516282495066848E-2</v>
      </c>
      <c r="E7" s="35">
        <f>+(E6-'Producción Laminados 2014'!E6)/'Producción Laminados 2014'!E6</f>
        <v>-6.235532567643879E-2</v>
      </c>
      <c r="F7" s="35">
        <f>+(F6-'Producción Laminados 2014'!F6)/'Producción Laminados 2014'!F6</f>
        <v>-0.12629647781913567</v>
      </c>
      <c r="G7" s="35">
        <f>+(G6-'Producción Laminados 2014'!G6)/'Producción Laminados 2014'!G6</f>
        <v>-0.13078884501326332</v>
      </c>
      <c r="H7" s="35">
        <f>+(H6-'Producción Laminados 2014'!H6)/'Producción Laminados 2014'!H6</f>
        <v>-0.15959385457166059</v>
      </c>
      <c r="I7" s="35">
        <f>+(I6-'Producción Laminados 2014'!I6)/'Producción Laminados 2014'!I6</f>
        <v>-0.13764180893812578</v>
      </c>
      <c r="J7" s="35">
        <f>+(J6-'Producción Laminados 2014'!J6)/'Producción Laminados 2014'!J6</f>
        <v>-3.661060128230631E-2</v>
      </c>
      <c r="K7" s="35">
        <f>+(K6-'Producción Laminados 2014'!K6)/'Producción Laminados 2014'!K6</f>
        <v>7.9470029938213341E-3</v>
      </c>
      <c r="L7" s="35">
        <f>+(L6-'Producción Laminados 2014'!L6)/'Producción Laminados 2014'!L6</f>
        <v>-0.1698201141701704</v>
      </c>
      <c r="M7" s="35">
        <f>+(M6-'Producción Laminados 2014'!M6)/'Producción Laminados 2014'!M6</f>
        <v>-1.1407464261728666E-2</v>
      </c>
      <c r="N7" s="35">
        <f>+(N6-'Producción Laminados 2014'!N6)/'Producción Laminados 2014'!N6</f>
        <v>-6.2903988648904313E-2</v>
      </c>
      <c r="O7" s="35">
        <f>+(O6-'Producción Laminados 2014'!O6)/'Producción Laminados 2014'!O6</f>
        <v>-0.11600636171576412</v>
      </c>
      <c r="P7" s="35">
        <f>+(P6-'Producción Laminados 2014'!P6)/'Producción Laminados 2014'!P6</f>
        <v>-8.9521279191234343E-2</v>
      </c>
    </row>
    <row r="8" spans="2:20" ht="18" customHeight="1" thickTop="1" thickBot="1">
      <c r="B8" s="260" t="s">
        <v>42</v>
      </c>
      <c r="C8" s="31" t="s">
        <v>65</v>
      </c>
      <c r="D8" s="34">
        <v>782</v>
      </c>
      <c r="E8" s="34">
        <v>866</v>
      </c>
      <c r="F8" s="34">
        <v>871</v>
      </c>
      <c r="G8" s="34">
        <v>866</v>
      </c>
      <c r="H8" s="34">
        <v>842</v>
      </c>
      <c r="I8" s="34">
        <v>709</v>
      </c>
      <c r="J8" s="34">
        <v>785</v>
      </c>
      <c r="K8" s="34">
        <v>820</v>
      </c>
      <c r="L8" s="34">
        <v>664</v>
      </c>
      <c r="M8" s="34">
        <v>827</v>
      </c>
      <c r="N8" s="34">
        <v>780</v>
      </c>
      <c r="O8" s="34">
        <v>441</v>
      </c>
      <c r="P8" s="34">
        <f>SUM(D8:O8)</f>
        <v>9253</v>
      </c>
      <c r="R8" s="7"/>
      <c r="T8" s="7">
        <f t="shared" ref="T8:T71" si="1">+D8+E8+F8+G8</f>
        <v>3385</v>
      </c>
    </row>
    <row r="9" spans="2:20" ht="18" customHeight="1" thickTop="1" thickBot="1">
      <c r="B9" s="260"/>
      <c r="C9" s="29" t="s">
        <v>59</v>
      </c>
      <c r="D9" s="34">
        <v>1226</v>
      </c>
      <c r="E9" s="34">
        <v>1131</v>
      </c>
      <c r="F9" s="34">
        <v>1290</v>
      </c>
      <c r="G9" s="34">
        <v>1182</v>
      </c>
      <c r="H9" s="34">
        <v>1067</v>
      </c>
      <c r="I9" s="34">
        <v>1140</v>
      </c>
      <c r="J9" s="34">
        <v>1136</v>
      </c>
      <c r="K9" s="34">
        <v>1022</v>
      </c>
      <c r="L9" s="34">
        <v>1004</v>
      </c>
      <c r="M9" s="34">
        <v>1057</v>
      </c>
      <c r="N9" s="34">
        <v>1059</v>
      </c>
      <c r="O9" s="34">
        <v>1074</v>
      </c>
      <c r="P9" s="34">
        <f>SUM(D9:O9)</f>
        <v>13388</v>
      </c>
      <c r="R9" s="7"/>
      <c r="T9" s="7">
        <f t="shared" si="1"/>
        <v>4829</v>
      </c>
    </row>
    <row r="10" spans="2:20" ht="18" customHeight="1" thickTop="1" thickBot="1">
      <c r="B10" s="260"/>
      <c r="C10" s="29" t="s">
        <v>60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f>SUM(D10:O10)</f>
        <v>0</v>
      </c>
      <c r="R10" s="7"/>
      <c r="T10" s="7">
        <f t="shared" si="1"/>
        <v>0</v>
      </c>
    </row>
    <row r="11" spans="2:20" ht="18" customHeight="1" thickTop="1" thickBot="1">
      <c r="B11" s="260"/>
      <c r="C11" s="29" t="s">
        <v>139</v>
      </c>
      <c r="D11" s="34">
        <f t="shared" ref="D11:O11" si="2">+D8+D9+D10</f>
        <v>2008</v>
      </c>
      <c r="E11" s="34">
        <f t="shared" si="2"/>
        <v>1997</v>
      </c>
      <c r="F11" s="34">
        <f t="shared" si="2"/>
        <v>2161</v>
      </c>
      <c r="G11" s="34">
        <f t="shared" si="2"/>
        <v>2048</v>
      </c>
      <c r="H11" s="34">
        <f t="shared" si="2"/>
        <v>1909</v>
      </c>
      <c r="I11" s="34">
        <f t="shared" si="2"/>
        <v>1849</v>
      </c>
      <c r="J11" s="34">
        <f t="shared" si="2"/>
        <v>1921</v>
      </c>
      <c r="K11" s="34">
        <f t="shared" si="2"/>
        <v>1842</v>
      </c>
      <c r="L11" s="34">
        <f t="shared" si="2"/>
        <v>1668</v>
      </c>
      <c r="M11" s="34">
        <f t="shared" si="2"/>
        <v>1884</v>
      </c>
      <c r="N11" s="34">
        <f t="shared" si="2"/>
        <v>1839</v>
      </c>
      <c r="O11" s="34">
        <f t="shared" si="2"/>
        <v>1515</v>
      </c>
      <c r="P11" s="34">
        <f>SUM(D11:O11)</f>
        <v>22641</v>
      </c>
      <c r="R11" s="7">
        <f>+D11+E11+F11+G11+H11</f>
        <v>10123</v>
      </c>
      <c r="T11" s="7">
        <f t="shared" si="1"/>
        <v>8214</v>
      </c>
    </row>
    <row r="12" spans="2:20" ht="18" customHeight="1" thickTop="1" thickBot="1">
      <c r="B12" s="260"/>
      <c r="C12" s="32" t="s">
        <v>67</v>
      </c>
      <c r="D12" s="35">
        <f>+(D11-'Producción Laminados 2014'!D11)/'Producción Laminados 2014'!D11</f>
        <v>-9.373458312777503E-3</v>
      </c>
      <c r="E12" s="35">
        <f>+(E11-'Producción Laminados 2014'!E11)/'Producción Laminados 2014'!E11</f>
        <v>-5.005005005005005E-4</v>
      </c>
      <c r="F12" s="35">
        <f>+(F11-'Producción Laminados 2014'!F11)/'Producción Laminados 2014'!F11</f>
        <v>-5.1777095217200524E-2</v>
      </c>
      <c r="G12" s="35">
        <f>+(G11-'Producción Laminados 2014'!G11)/'Producción Laminados 2014'!G11</f>
        <v>-7.3303167420814483E-2</v>
      </c>
      <c r="H12" s="35">
        <f>+(H11-'Producción Laminados 2014'!H11)/'Producción Laminados 2014'!H11</f>
        <v>-8.5289889793962625E-2</v>
      </c>
      <c r="I12" s="35">
        <f>+(I11-'Producción Laminados 2014'!I11)/'Producción Laminados 2014'!I11</f>
        <v>-6.2848454130765327E-2</v>
      </c>
      <c r="J12" s="35">
        <f>+(J11-'Producción Laminados 2014'!J11)/'Producción Laminados 2014'!J11</f>
        <v>-8.5238095238095238E-2</v>
      </c>
      <c r="K12" s="35">
        <f>+(K11-'Producción Laminados 2014'!K11)/'Producción Laminados 2014'!K11</f>
        <v>-0.12618595825426945</v>
      </c>
      <c r="L12" s="35">
        <f>+(L11-'Producción Laminados 2014'!L11)/'Producción Laminados 2014'!L11</f>
        <v>-0.23027226580526072</v>
      </c>
      <c r="M12" s="35">
        <f>+(M11-'Producción Laminados 2014'!M11)/'Producción Laminados 2014'!M11</f>
        <v>-0.14207650273224043</v>
      </c>
      <c r="N12" s="35">
        <f>+(N11-'Producción Laminados 2014'!N11)/'Producción Laminados 2014'!N11</f>
        <v>-9.9412340842311459E-2</v>
      </c>
      <c r="O12" s="35">
        <f>+(O11-'Producción Laminados 2014'!O11)/'Producción Laminados 2014'!O11</f>
        <v>-0.12427745664739884</v>
      </c>
      <c r="P12" s="35">
        <f>+(P11-'Producción Laminados 2014'!P11)/'Producción Laminados 2014'!P11</f>
        <v>-9.1343259621944853E-2</v>
      </c>
    </row>
    <row r="13" spans="2:20" ht="18" customHeight="1" thickTop="1" thickBot="1">
      <c r="B13" s="260" t="s">
        <v>1</v>
      </c>
      <c r="C13" s="31" t="s">
        <v>65</v>
      </c>
      <c r="D13" s="34">
        <f>78795/1000</f>
        <v>78.795000000000002</v>
      </c>
      <c r="E13" s="34">
        <f>90014/1000</f>
        <v>90.013999999999996</v>
      </c>
      <c r="F13" s="34">
        <f>87214/1000</f>
        <v>87.213999999999999</v>
      </c>
      <c r="G13" s="34">
        <f>82843/1000</f>
        <v>82.843000000000004</v>
      </c>
      <c r="H13" s="34">
        <f>76783/1000</f>
        <v>76.783000000000001</v>
      </c>
      <c r="I13" s="34">
        <f>68857/1000</f>
        <v>68.856999999999999</v>
      </c>
      <c r="J13" s="34">
        <f>85885/1000</f>
        <v>85.885000000000005</v>
      </c>
      <c r="K13" s="34">
        <f>96284/1000</f>
        <v>96.284000000000006</v>
      </c>
      <c r="L13" s="34">
        <f>84406/1000</f>
        <v>84.406000000000006</v>
      </c>
      <c r="M13" s="34">
        <f>104244/1000</f>
        <v>104.244</v>
      </c>
      <c r="N13" s="34">
        <f>95532/1000</f>
        <v>95.531999999999996</v>
      </c>
      <c r="O13" s="34">
        <f>84364/1000</f>
        <v>84.364000000000004</v>
      </c>
      <c r="P13" s="34">
        <f>SUM(D13:O13)</f>
        <v>1035.2210000000002</v>
      </c>
      <c r="R13" s="7"/>
      <c r="T13" s="7">
        <f>+D13+E13+F13+G13</f>
        <v>338.86600000000004</v>
      </c>
    </row>
    <row r="14" spans="2:20" ht="18" customHeight="1" thickTop="1" thickBot="1">
      <c r="B14" s="260"/>
      <c r="C14" s="29" t="s">
        <v>59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f>SUM(D14:O14)</f>
        <v>0</v>
      </c>
      <c r="R14" s="7"/>
      <c r="T14" s="7">
        <f t="shared" si="1"/>
        <v>0</v>
      </c>
    </row>
    <row r="15" spans="2:20" ht="18" customHeight="1" thickTop="1" thickBot="1">
      <c r="B15" s="260"/>
      <c r="C15" s="29" t="s">
        <v>60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f>SUM(D15:O15)</f>
        <v>0</v>
      </c>
      <c r="R15" s="7"/>
      <c r="T15" s="7">
        <f t="shared" si="1"/>
        <v>0</v>
      </c>
    </row>
    <row r="16" spans="2:20" ht="18" customHeight="1" thickTop="1" thickBot="1">
      <c r="B16" s="260"/>
      <c r="C16" s="29" t="s">
        <v>139</v>
      </c>
      <c r="D16" s="34">
        <f t="shared" ref="D16:O16" si="3">+D13+D14+D15</f>
        <v>78.795000000000002</v>
      </c>
      <c r="E16" s="34">
        <f t="shared" si="3"/>
        <v>90.013999999999996</v>
      </c>
      <c r="F16" s="34">
        <f t="shared" si="3"/>
        <v>87.213999999999999</v>
      </c>
      <c r="G16" s="34">
        <f t="shared" si="3"/>
        <v>82.843000000000004</v>
      </c>
      <c r="H16" s="34">
        <f t="shared" si="3"/>
        <v>76.783000000000001</v>
      </c>
      <c r="I16" s="34">
        <f t="shared" si="3"/>
        <v>68.856999999999999</v>
      </c>
      <c r="J16" s="34">
        <f t="shared" si="3"/>
        <v>85.885000000000005</v>
      </c>
      <c r="K16" s="34">
        <f t="shared" si="3"/>
        <v>96.284000000000006</v>
      </c>
      <c r="L16" s="34">
        <f t="shared" si="3"/>
        <v>84.406000000000006</v>
      </c>
      <c r="M16" s="34">
        <f t="shared" si="3"/>
        <v>104.244</v>
      </c>
      <c r="N16" s="34">
        <f t="shared" si="3"/>
        <v>95.531999999999996</v>
      </c>
      <c r="O16" s="34">
        <f t="shared" si="3"/>
        <v>84.364000000000004</v>
      </c>
      <c r="P16" s="34">
        <f>SUM(D16:O16)</f>
        <v>1035.2210000000002</v>
      </c>
      <c r="R16" s="7">
        <f>+D16+E16+F16+G16+H16</f>
        <v>415.64900000000006</v>
      </c>
      <c r="T16" s="7">
        <f t="shared" si="1"/>
        <v>338.86600000000004</v>
      </c>
    </row>
    <row r="17" spans="2:20" ht="18" customHeight="1" thickTop="1" thickBot="1">
      <c r="B17" s="260"/>
      <c r="C17" s="32" t="s">
        <v>67</v>
      </c>
      <c r="D17" s="35">
        <f>+(D16-'Producción Laminados 2014'!D16)/'Producción Laminados 2014'!D16</f>
        <v>-0.11868330984497688</v>
      </c>
      <c r="E17" s="35">
        <f>+(E16-'Producción Laminados 2014'!E16)/'Producción Laminados 2014'!E16</f>
        <v>0.34339228415789869</v>
      </c>
      <c r="F17" s="35">
        <f>+(F16-'Producción Laminados 2014'!F16)/'Producción Laminados 2014'!F16</f>
        <v>-0.12219817824971056</v>
      </c>
      <c r="G17" s="35">
        <f>+(G16-'Producción Laminados 2014'!G16)/'Producción Laminados 2014'!G16</f>
        <v>8.360910910256257E-2</v>
      </c>
      <c r="H17" s="35">
        <f>+(H16-'Producción Laminados 2014'!H16)/'Producción Laminados 2014'!H16</f>
        <v>-0.24415021902839981</v>
      </c>
      <c r="I17" s="35">
        <f>+(I16-'Producción Laminados 2014'!I16)/'Producción Laminados 2014'!I16</f>
        <v>-3.145176037021935E-2</v>
      </c>
      <c r="J17" s="35">
        <f>+(J16-'Producción Laminados 2014'!J16)/'Producción Laminados 2014'!J16</f>
        <v>6.0465748012051235E-2</v>
      </c>
      <c r="K17" s="35">
        <f>+(K16-'Producción Laminados 2014'!K16)/'Producción Laminados 2014'!K16</f>
        <v>1.4829726909577777E-2</v>
      </c>
      <c r="L17" s="35">
        <f>+(L16-'Producción Laminados 2014'!L16)/'Producción Laminados 2014'!L16</f>
        <v>0.52995341586760703</v>
      </c>
      <c r="M17" s="35">
        <f>+(M16-'Producción Laminados 2014'!M16)/'Producción Laminados 2014'!M16</f>
        <v>0.21763304209690237</v>
      </c>
      <c r="N17" s="35">
        <f>+(N16-'Producción Laminados 2014'!N16)/'Producción Laminados 2014'!N16</f>
        <v>-3.9000492913116615E-2</v>
      </c>
      <c r="O17" s="35">
        <f>+(O16-'Producción Laminados 2014'!O16)/'Producción Laminados 2014'!O16</f>
        <v>-0.12206797510770694</v>
      </c>
      <c r="P17" s="35">
        <f>+(P16-'Producción Laminados 2014'!P16)/'Producción Laminados 2014'!P16</f>
        <v>1.7872383102403008E-2</v>
      </c>
    </row>
    <row r="18" spans="2:20" ht="18" customHeight="1" thickTop="1" thickBot="1">
      <c r="B18" s="260" t="s">
        <v>2</v>
      </c>
      <c r="C18" s="31" t="s">
        <v>65</v>
      </c>
      <c r="D18" s="34">
        <f>119765/1000</f>
        <v>119.765</v>
      </c>
      <c r="E18" s="34">
        <f>107616/1000</f>
        <v>107.616</v>
      </c>
      <c r="F18" s="34">
        <f>132205/1000</f>
        <v>132.20500000000001</v>
      </c>
      <c r="G18" s="34">
        <f>118367/1000</f>
        <v>118.367</v>
      </c>
      <c r="H18" s="34">
        <f>130888/1000</f>
        <v>130.88800000000001</v>
      </c>
      <c r="I18" s="34">
        <f>122240/1000</f>
        <v>122.24</v>
      </c>
      <c r="J18" s="34">
        <f>104215/1000</f>
        <v>104.215</v>
      </c>
      <c r="K18" s="34">
        <f>119703/1000</f>
        <v>119.703</v>
      </c>
      <c r="L18" s="34">
        <f>121379/1000</f>
        <v>121.379</v>
      </c>
      <c r="M18" s="34">
        <f>127359/1000</f>
        <v>127.35899999999999</v>
      </c>
      <c r="N18" s="34">
        <f>119500/1000</f>
        <v>119.5</v>
      </c>
      <c r="O18" s="34">
        <f>96867/1000</f>
        <v>96.867000000000004</v>
      </c>
      <c r="P18" s="34">
        <f>SUM(D18:O18)</f>
        <v>1420.1039999999998</v>
      </c>
      <c r="R18" s="7"/>
      <c r="T18" s="7">
        <f>+D18+E18+F18+G18</f>
        <v>477.95300000000003</v>
      </c>
    </row>
    <row r="19" spans="2:20" ht="18" customHeight="1" thickTop="1" thickBot="1">
      <c r="B19" s="260"/>
      <c r="C19" s="29" t="s">
        <v>59</v>
      </c>
      <c r="D19" s="34">
        <v>30.213000000000001</v>
      </c>
      <c r="E19" s="34">
        <f>36067/1000</f>
        <v>36.067</v>
      </c>
      <c r="F19" s="34">
        <f>39415/1000</f>
        <v>39.414999999999999</v>
      </c>
      <c r="G19" s="34">
        <f>33847/1000</f>
        <v>33.847000000000001</v>
      </c>
      <c r="H19" s="34">
        <f>33909/1000</f>
        <v>33.908999999999999</v>
      </c>
      <c r="I19" s="34">
        <f>37122/1000</f>
        <v>37.122</v>
      </c>
      <c r="J19" s="34">
        <f>38024/1000</f>
        <v>38.024000000000001</v>
      </c>
      <c r="K19" s="34">
        <f>41779/1000</f>
        <v>41.779000000000003</v>
      </c>
      <c r="L19" s="34">
        <v>30.869</v>
      </c>
      <c r="M19" s="34">
        <f>39405/1000</f>
        <v>39.405000000000001</v>
      </c>
      <c r="N19" s="34">
        <f>39738/1000</f>
        <v>39.738</v>
      </c>
      <c r="O19" s="34">
        <f>39975/1000</f>
        <v>39.975000000000001</v>
      </c>
      <c r="P19" s="34">
        <f>SUM(D19:O19)</f>
        <v>440.363</v>
      </c>
      <c r="R19" s="7"/>
      <c r="T19" s="7">
        <f t="shared" si="1"/>
        <v>139.542</v>
      </c>
    </row>
    <row r="20" spans="2:20" ht="18" customHeight="1" thickTop="1" thickBot="1">
      <c r="B20" s="260"/>
      <c r="C20" s="29" t="s">
        <v>60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f>SUM(D20:O20)</f>
        <v>0</v>
      </c>
      <c r="R20" s="7"/>
      <c r="T20" s="7">
        <f t="shared" si="1"/>
        <v>0</v>
      </c>
    </row>
    <row r="21" spans="2:20" ht="18" customHeight="1" thickTop="1" thickBot="1">
      <c r="B21" s="260"/>
      <c r="C21" s="29" t="s">
        <v>139</v>
      </c>
      <c r="D21" s="34">
        <f t="shared" ref="D21:O21" si="4">+D18+D19+D20</f>
        <v>149.97800000000001</v>
      </c>
      <c r="E21" s="34">
        <f t="shared" si="4"/>
        <v>143.68299999999999</v>
      </c>
      <c r="F21" s="34">
        <f t="shared" si="4"/>
        <v>171.62</v>
      </c>
      <c r="G21" s="34">
        <f t="shared" si="4"/>
        <v>152.214</v>
      </c>
      <c r="H21" s="34">
        <f t="shared" si="4"/>
        <v>164.797</v>
      </c>
      <c r="I21" s="34">
        <f t="shared" si="4"/>
        <v>159.36199999999999</v>
      </c>
      <c r="J21" s="34">
        <f t="shared" si="4"/>
        <v>142.239</v>
      </c>
      <c r="K21" s="34">
        <f t="shared" si="4"/>
        <v>161.482</v>
      </c>
      <c r="L21" s="34">
        <f t="shared" si="4"/>
        <v>152.24799999999999</v>
      </c>
      <c r="M21" s="34">
        <f t="shared" si="4"/>
        <v>166.76400000000001</v>
      </c>
      <c r="N21" s="34">
        <f t="shared" si="4"/>
        <v>159.238</v>
      </c>
      <c r="O21" s="34">
        <f t="shared" si="4"/>
        <v>136.84200000000001</v>
      </c>
      <c r="P21" s="34">
        <f>SUM(D21:O21)</f>
        <v>1860.4670000000003</v>
      </c>
      <c r="R21" s="7">
        <f>+D21+E21+F21+G21+H21</f>
        <v>782.29200000000003</v>
      </c>
      <c r="T21" s="7">
        <f t="shared" si="1"/>
        <v>617.495</v>
      </c>
    </row>
    <row r="22" spans="2:20" ht="18" customHeight="1" thickTop="1" thickBot="1">
      <c r="B22" s="260"/>
      <c r="C22" s="32" t="s">
        <v>67</v>
      </c>
      <c r="D22" s="35">
        <f>+(D21-'Producción Laminados 2014'!D21)/'Producción Laminados 2014'!D21</f>
        <v>7.6793842707600382E-2</v>
      </c>
      <c r="E22" s="35">
        <f>+(E21-'Producción Laminados 2014'!E21)/'Producción Laminados 2014'!E21</f>
        <v>-3.3225452661467869E-2</v>
      </c>
      <c r="F22" s="35">
        <f>+(F21-'Producción Laminados 2014'!F21)/'Producción Laminados 2014'!F21</f>
        <v>6.0423502079201163E-2</v>
      </c>
      <c r="G22" s="35">
        <f>+(G21-'Producción Laminados 2014'!G21)/'Producción Laminados 2014'!G21</f>
        <v>-1.1616656818373769E-2</v>
      </c>
      <c r="H22" s="35">
        <f>+(H21-'Producción Laminados 2014'!H21)/'Producción Laminados 2014'!H21</f>
        <v>4.9061047806989583E-2</v>
      </c>
      <c r="I22" s="35">
        <f>+(I21-'Producción Laminados 2014'!I21)/'Producción Laminados 2014'!I21</f>
        <v>6.5923775634422657E-2</v>
      </c>
      <c r="J22" s="35">
        <f>+(J21-'Producción Laminados 2014'!J21)/'Producción Laminados 2014'!J21</f>
        <v>-8.9145747950819629E-2</v>
      </c>
      <c r="K22" s="35">
        <f>+(K21-'Producción Laminados 2014'!K21)/'Producción Laminados 2014'!K21</f>
        <v>0.16974407637867731</v>
      </c>
      <c r="L22" s="35">
        <f>+(L21-'Producción Laminados 2014'!L21)/'Producción Laminados 2014'!L21</f>
        <v>1.5453775403352066E-2</v>
      </c>
      <c r="M22" s="35">
        <f>+(M21-'Producción Laminados 2014'!M21)/'Producción Laminados 2014'!M21</f>
        <v>6.2522698166943738E-2</v>
      </c>
      <c r="N22" s="35">
        <f>+(N21-'Producción Laminados 2014'!N21)/'Producción Laminados 2014'!N21</f>
        <v>3.6996034045989515E-2</v>
      </c>
      <c r="O22" s="35">
        <f>+(O21-'Producción Laminados 2014'!O21)/'Producción Laminados 2014'!O21</f>
        <v>-1.574469003315802E-2</v>
      </c>
      <c r="P22" s="35">
        <f>+(P21-'Producción Laminados 2014'!P21)/'Producción Laminados 2014'!P21</f>
        <v>3.1288421094643061E-2</v>
      </c>
    </row>
    <row r="23" spans="2:20" s="3" customFormat="1" ht="18" customHeight="1" thickTop="1" thickBot="1">
      <c r="B23" s="260" t="s">
        <v>5</v>
      </c>
      <c r="C23" s="31" t="s">
        <v>65</v>
      </c>
      <c r="D23" s="30">
        <f>+'[1]Producción Laminados 2014'!D23*1.03</f>
        <v>30.766100000000002</v>
      </c>
      <c r="E23" s="30">
        <f>+'[1]Producción Laminados 2014'!E23*1.03</f>
        <v>32.304405000000003</v>
      </c>
      <c r="F23" s="30">
        <f>+'[1]Producción Laminados 2014'!F23*1.03</f>
        <v>33.920155700000002</v>
      </c>
      <c r="G23" s="30">
        <f>+'[1]Producción Laminados 2014'!G23*1.03</f>
        <v>35.616534800000004</v>
      </c>
      <c r="H23" s="30">
        <f>+'[1]Producción Laminados 2014'!H23*1.03</f>
        <v>37.397785899999995</v>
      </c>
      <c r="I23" s="30">
        <f>+'[1]Producción Laminados 2014'!I23*1.03</f>
        <v>39.268152600000001</v>
      </c>
      <c r="J23" s="30">
        <f>+'[1]Producción Laminados 2014'!J23*1.03</f>
        <v>38.919116500000001</v>
      </c>
      <c r="K23" s="30">
        <f>+'[1]Producción Laminados 2014'!K23*1.03</f>
        <v>40.864807100000007</v>
      </c>
      <c r="L23" s="30">
        <f>+'[1]Producción Laminados 2014'!L23*1.03</f>
        <v>42.908100499999996</v>
      </c>
      <c r="M23" s="30">
        <f>+'[1]Producción Laminados 2014'!M23*1.03</f>
        <v>45.053240300000006</v>
      </c>
      <c r="N23" s="30">
        <f>+'[1]Producción Laminados 2014'!N23*1.03</f>
        <v>47.305531000000002</v>
      </c>
      <c r="O23" s="30">
        <f>+'[1]Producción Laminados 2014'!O23*1.03</f>
        <v>49.671338000000006</v>
      </c>
      <c r="P23" s="30">
        <f>SUM(D23:O23)</f>
        <v>473.99526739999999</v>
      </c>
      <c r="R23" s="7"/>
      <c r="T23" s="7">
        <f>+D23+E23+F23+G23</f>
        <v>132.60719550000002</v>
      </c>
    </row>
    <row r="24" spans="2:20" s="3" customFormat="1" ht="18" customHeight="1" thickTop="1" thickBot="1">
      <c r="B24" s="260"/>
      <c r="C24" s="29" t="s">
        <v>59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4">
        <v>0</v>
      </c>
      <c r="O24" s="34">
        <v>0</v>
      </c>
      <c r="P24" s="30">
        <f>SUM(D24:O24)</f>
        <v>0</v>
      </c>
      <c r="R24" s="7"/>
      <c r="T24" s="7">
        <f t="shared" si="1"/>
        <v>0</v>
      </c>
    </row>
    <row r="25" spans="2:20" s="3" customFormat="1" ht="18" customHeight="1" thickTop="1" thickBot="1">
      <c r="B25" s="260"/>
      <c r="C25" s="29" t="s">
        <v>60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4">
        <v>0</v>
      </c>
      <c r="O25" s="34">
        <v>0</v>
      </c>
      <c r="P25" s="30">
        <f>SUM(D25:O25)</f>
        <v>0</v>
      </c>
      <c r="R25" s="7"/>
      <c r="T25" s="7">
        <f t="shared" si="1"/>
        <v>0</v>
      </c>
    </row>
    <row r="26" spans="2:20" s="3" customFormat="1" ht="18" customHeight="1" thickTop="1" thickBot="1">
      <c r="B26" s="260"/>
      <c r="C26" s="29" t="s">
        <v>139</v>
      </c>
      <c r="D26" s="30">
        <f t="shared" ref="D26:O26" si="5">+D23+D24+D25</f>
        <v>30.766100000000002</v>
      </c>
      <c r="E26" s="30">
        <f t="shared" si="5"/>
        <v>32.304405000000003</v>
      </c>
      <c r="F26" s="30">
        <f t="shared" si="5"/>
        <v>33.920155700000002</v>
      </c>
      <c r="G26" s="30">
        <f t="shared" si="5"/>
        <v>35.616534800000004</v>
      </c>
      <c r="H26" s="30">
        <f t="shared" si="5"/>
        <v>37.397785899999995</v>
      </c>
      <c r="I26" s="30">
        <f t="shared" si="5"/>
        <v>39.268152600000001</v>
      </c>
      <c r="J26" s="30">
        <f t="shared" si="5"/>
        <v>38.919116500000001</v>
      </c>
      <c r="K26" s="30">
        <f t="shared" si="5"/>
        <v>40.864807100000007</v>
      </c>
      <c r="L26" s="30">
        <f t="shared" si="5"/>
        <v>42.908100499999996</v>
      </c>
      <c r="M26" s="30">
        <f t="shared" si="5"/>
        <v>45.053240300000006</v>
      </c>
      <c r="N26" s="34">
        <f t="shared" si="5"/>
        <v>47.305531000000002</v>
      </c>
      <c r="O26" s="30">
        <f t="shared" si="5"/>
        <v>49.671338000000006</v>
      </c>
      <c r="P26" s="30">
        <f>SUM(D26:O26)</f>
        <v>473.99526739999999</v>
      </c>
      <c r="R26" s="7">
        <f>+D26+E26+F26+G26+H26</f>
        <v>170.00498140000002</v>
      </c>
      <c r="T26" s="7">
        <f t="shared" si="1"/>
        <v>132.60719550000002</v>
      </c>
    </row>
    <row r="27" spans="2:20" s="3" customFormat="1" ht="18" customHeight="1" thickTop="1" thickBot="1">
      <c r="B27" s="260"/>
      <c r="C27" s="32" t="s">
        <v>67</v>
      </c>
      <c r="D27" s="37">
        <f>+(D26-'Producción Laminados 2014'!D26)/'Producción Laminados 2014'!D26</f>
        <v>3.0000000000000016E-2</v>
      </c>
      <c r="E27" s="37">
        <f>+(E26-'Producción Laminados 2014'!E26)/'Producción Laminados 2014'!E26</f>
        <v>3.0000000000000138E-2</v>
      </c>
      <c r="F27" s="37">
        <f>+(F26-'Producción Laminados 2014'!F26)/'Producción Laminados 2014'!F26</f>
        <v>3.0000000000000113E-2</v>
      </c>
      <c r="G27" s="37">
        <f>+(G26-'Producción Laminados 2014'!G26)/'Producción Laminados 2014'!G26</f>
        <v>3.0000000000000058E-2</v>
      </c>
      <c r="H27" s="37">
        <f>+(H26-'Producción Laminados 2014'!H26)/'Producción Laminados 2014'!H26</f>
        <v>2.999999999999994E-2</v>
      </c>
      <c r="I27" s="37">
        <f>+(I26-'Producción Laminados 2014'!I26)/'Producción Laminados 2014'!I26</f>
        <v>2.9999999999999995E-2</v>
      </c>
      <c r="J27" s="37">
        <f>+(J26-'Producción Laminados 2014'!J26)/'Producción Laminados 2014'!J26</f>
        <v>3.0000000000000016E-2</v>
      </c>
      <c r="K27" s="37">
        <f>+(K26-'Producción Laminados 2014'!K26)/'Producción Laminados 2014'!K26</f>
        <v>3.000000000000011E-2</v>
      </c>
      <c r="L27" s="37">
        <f>+(L26-'Producción Laminados 2014'!L26)/'Producción Laminados 2014'!L26</f>
        <v>2.9999999999999943E-2</v>
      </c>
      <c r="M27" s="37">
        <f>+(M26-'Producción Laminados 2014'!M26)/'Producción Laminados 2014'!M26</f>
        <v>3.0000000000000068E-2</v>
      </c>
      <c r="N27" s="37">
        <f>+(N26-'Producción Laminados 2014'!N26)/'Producción Laminados 2014'!N26</f>
        <v>3.0000000000000009E-2</v>
      </c>
      <c r="O27" s="37">
        <f>+(O26-'Producción Laminados 2014'!O26)/'Producción Laminados 2014'!O26</f>
        <v>3.0000000000000068E-2</v>
      </c>
      <c r="P27" s="37">
        <f>+(P26-'Producción Laminados 2014'!P26)/'Producción Laminados 2014'!P26</f>
        <v>2.9999999999999898E-2</v>
      </c>
      <c r="R27" s="2"/>
      <c r="T27" s="2"/>
    </row>
    <row r="28" spans="2:20" s="3" customFormat="1" ht="18" customHeight="1" thickTop="1" thickBot="1">
      <c r="B28" s="260" t="s">
        <v>9</v>
      </c>
      <c r="C28" s="31" t="s">
        <v>65</v>
      </c>
      <c r="D28" s="34">
        <v>6.1180000000000003</v>
      </c>
      <c r="E28" s="34">
        <v>13.317</v>
      </c>
      <c r="F28" s="34">
        <v>11.83</v>
      </c>
      <c r="G28" s="34">
        <v>9.9809999999999999</v>
      </c>
      <c r="H28" s="34">
        <v>12.318</v>
      </c>
      <c r="I28" s="34">
        <v>7.4630000000000001</v>
      </c>
      <c r="J28" s="34">
        <v>10.503</v>
      </c>
      <c r="K28" s="30">
        <v>11.028</v>
      </c>
      <c r="L28" s="30">
        <v>11.579000000000001</v>
      </c>
      <c r="M28" s="30">
        <v>12.157999999999999</v>
      </c>
      <c r="N28" s="30">
        <v>12.766</v>
      </c>
      <c r="O28" s="30">
        <f>+'[1]Producción Laminados 2014'!O28*1.05</f>
        <v>6.6254999999999997</v>
      </c>
      <c r="P28" s="34">
        <f>SUM(D28:O28)</f>
        <v>125.68650000000001</v>
      </c>
      <c r="R28" s="7"/>
      <c r="T28" s="7">
        <f>+D28+E28+F28+G28</f>
        <v>41.246000000000002</v>
      </c>
    </row>
    <row r="29" spans="2:20" s="3" customFormat="1" ht="18" customHeight="1" thickTop="1" thickBot="1">
      <c r="B29" s="260"/>
      <c r="C29" s="29" t="s">
        <v>59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4">
        <f>SUM(D29:O29)</f>
        <v>0</v>
      </c>
      <c r="R29" s="7"/>
      <c r="T29" s="7">
        <f t="shared" si="1"/>
        <v>0</v>
      </c>
    </row>
    <row r="30" spans="2:20" s="3" customFormat="1" ht="18" customHeight="1" thickTop="1" thickBot="1">
      <c r="B30" s="260"/>
      <c r="C30" s="29" t="s">
        <v>60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4">
        <f>SUM(D30:O30)</f>
        <v>0</v>
      </c>
      <c r="R30" s="7"/>
      <c r="T30" s="7">
        <f t="shared" si="1"/>
        <v>0</v>
      </c>
    </row>
    <row r="31" spans="2:20" s="3" customFormat="1" ht="18" customHeight="1" thickTop="1" thickBot="1">
      <c r="B31" s="260"/>
      <c r="C31" s="29" t="s">
        <v>139</v>
      </c>
      <c r="D31" s="34">
        <f t="shared" ref="D31:O31" si="6">+D28+D29+D30</f>
        <v>6.1180000000000003</v>
      </c>
      <c r="E31" s="34">
        <f t="shared" si="6"/>
        <v>13.317</v>
      </c>
      <c r="F31" s="34">
        <f t="shared" si="6"/>
        <v>11.83</v>
      </c>
      <c r="G31" s="34">
        <f t="shared" si="6"/>
        <v>9.9809999999999999</v>
      </c>
      <c r="H31" s="34">
        <f t="shared" si="6"/>
        <v>12.318</v>
      </c>
      <c r="I31" s="34">
        <f t="shared" si="6"/>
        <v>7.4630000000000001</v>
      </c>
      <c r="J31" s="34">
        <f t="shared" si="6"/>
        <v>10.503</v>
      </c>
      <c r="K31" s="30">
        <f t="shared" si="6"/>
        <v>11.028</v>
      </c>
      <c r="L31" s="30">
        <f t="shared" si="6"/>
        <v>11.579000000000001</v>
      </c>
      <c r="M31" s="30">
        <f t="shared" si="6"/>
        <v>12.157999999999999</v>
      </c>
      <c r="N31" s="30">
        <f t="shared" si="6"/>
        <v>12.766</v>
      </c>
      <c r="O31" s="30">
        <f t="shared" si="6"/>
        <v>6.6254999999999997</v>
      </c>
      <c r="P31" s="34">
        <f>SUM(D31:O31)</f>
        <v>125.68650000000001</v>
      </c>
      <c r="R31" s="7">
        <f>+D31+E31+F31+G31+H31</f>
        <v>53.564</v>
      </c>
      <c r="T31" s="7">
        <f t="shared" si="1"/>
        <v>41.246000000000002</v>
      </c>
    </row>
    <row r="32" spans="2:20" s="3" customFormat="1" ht="18" customHeight="1" thickTop="1" thickBot="1">
      <c r="B32" s="260"/>
      <c r="C32" s="32" t="s">
        <v>67</v>
      </c>
      <c r="D32" s="35">
        <f>+(D31-'Producción Laminados 2014'!D31)/'Producción Laminados 2014'!D31</f>
        <v>-0.12186019807664696</v>
      </c>
      <c r="E32" s="35">
        <f>+(E31-'Producción Laminados 2014'!E31)/'Producción Laminados 2014'!E31</f>
        <v>2.4331013147718488</v>
      </c>
      <c r="F32" s="35">
        <f>+(F31-'Producción Laminados 2014'!F31)/'Producción Laminados 2014'!F31</f>
        <v>1.9545454545454548</v>
      </c>
      <c r="G32" s="35">
        <f>+(G31-'Producción Laminados 2014'!G31)/'Producción Laminados 2014'!G31</f>
        <v>-0.12738240951215254</v>
      </c>
      <c r="H32" s="35">
        <f>+(H31-'Producción Laminados 2014'!H31)/'Producción Laminados 2014'!H31</f>
        <v>-1.6762452107279762E-2</v>
      </c>
      <c r="I32" s="35">
        <f>+(I31-'Producción Laminados 2014'!I31)/'Producción Laminados 2014'!I31</f>
        <v>-0.28439927126282483</v>
      </c>
      <c r="J32" s="35">
        <f>+(J31-'Producción Laminados 2014'!J31)/'Producción Laminados 2014'!J31</f>
        <v>-0.2138473053892215</v>
      </c>
      <c r="K32" s="35">
        <f>+(K31-'Producción Laminados 2014'!K31)/'Producción Laminados 2014'!K31</f>
        <v>0.20762155059132731</v>
      </c>
      <c r="L32" s="35">
        <f>+(L31-'Producción Laminados 2014'!L31)/'Producción Laminados 2014'!L31</f>
        <v>0.82145666194745959</v>
      </c>
      <c r="M32" s="35">
        <f>+(M31-'Producción Laminados 2014'!M31)/'Producción Laminados 2014'!M31</f>
        <v>0.19324761998233383</v>
      </c>
      <c r="N32" s="35">
        <f>+(N31-'Producción Laminados 2014'!N31)/'Producción Laminados 2014'!N31</f>
        <v>0.27214748380667664</v>
      </c>
      <c r="O32" s="35">
        <f>+(O31-'Producción Laminados 2014'!O31)/'Producción Laminados 2014'!O31</f>
        <v>5.0000000000000024E-2</v>
      </c>
      <c r="P32" s="35">
        <f>+(P31-'Producción Laminados 2014'!P31)/'Producción Laminados 2014'!P31</f>
        <v>0.20127021447413687</v>
      </c>
      <c r="R32" s="2"/>
      <c r="T32" s="2"/>
    </row>
    <row r="33" spans="2:20" s="3" customFormat="1" ht="18" customHeight="1" thickTop="1" thickBot="1">
      <c r="B33" s="260" t="s">
        <v>4</v>
      </c>
      <c r="C33" s="31" t="s">
        <v>65</v>
      </c>
      <c r="D33" s="34">
        <f>61979/1000</f>
        <v>61.978999999999999</v>
      </c>
      <c r="E33" s="34">
        <f>45138/1000</f>
        <v>45.137999999999998</v>
      </c>
      <c r="F33" s="34">
        <f>60388/1000</f>
        <v>60.387999999999998</v>
      </c>
      <c r="G33" s="34">
        <f>58720/1000</f>
        <v>58.72</v>
      </c>
      <c r="H33" s="34">
        <f>61110/1000</f>
        <v>61.11</v>
      </c>
      <c r="I33" s="30">
        <f>64166/1000</f>
        <v>64.165999999999997</v>
      </c>
      <c r="J33" s="30">
        <f>67374/1000</f>
        <v>67.373999999999995</v>
      </c>
      <c r="K33" s="30">
        <f>70743/1000</f>
        <v>70.742999999999995</v>
      </c>
      <c r="L33" s="30">
        <f>74280/1000</f>
        <v>74.28</v>
      </c>
      <c r="M33" s="30">
        <f>77994/1000</f>
        <v>77.994</v>
      </c>
      <c r="N33" s="30">
        <f>+'[1]Producción Laminados 2014'!N33*1.03</f>
        <v>59.781199999999998</v>
      </c>
      <c r="O33" s="30">
        <f>+'[1]Producción Laminados 2014'!O33*1.03</f>
        <v>58.971620000000001</v>
      </c>
      <c r="P33" s="34">
        <f>SUM(D33:O33)</f>
        <v>760.6448200000001</v>
      </c>
      <c r="R33" s="7"/>
      <c r="T33" s="7">
        <f>+D33+E33+F33+G33</f>
        <v>226.22499999999999</v>
      </c>
    </row>
    <row r="34" spans="2:20" s="3" customFormat="1" ht="18" customHeight="1" thickTop="1" thickBot="1">
      <c r="B34" s="260"/>
      <c r="C34" s="29" t="s">
        <v>59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4">
        <v>0</v>
      </c>
      <c r="P34" s="34">
        <f>SUM(D34:O34)</f>
        <v>0</v>
      </c>
      <c r="R34" s="7"/>
      <c r="T34" s="7">
        <f t="shared" si="1"/>
        <v>0</v>
      </c>
    </row>
    <row r="35" spans="2:20" s="3" customFormat="1" ht="18" customHeight="1" thickTop="1" thickBot="1">
      <c r="B35" s="260"/>
      <c r="C35" s="29" t="s">
        <v>60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4">
        <v>0</v>
      </c>
      <c r="P35" s="34">
        <f>SUM(D35:O35)</f>
        <v>0</v>
      </c>
      <c r="R35" s="7"/>
      <c r="T35" s="7">
        <f t="shared" si="1"/>
        <v>0</v>
      </c>
    </row>
    <row r="36" spans="2:20" s="3" customFormat="1" ht="18" customHeight="1" thickTop="1" thickBot="1">
      <c r="B36" s="260"/>
      <c r="C36" s="29" t="s">
        <v>139</v>
      </c>
      <c r="D36" s="34">
        <f t="shared" ref="D36:O36" si="7">+D33+D34+D35</f>
        <v>61.978999999999999</v>
      </c>
      <c r="E36" s="34">
        <f t="shared" si="7"/>
        <v>45.137999999999998</v>
      </c>
      <c r="F36" s="34">
        <f t="shared" si="7"/>
        <v>60.387999999999998</v>
      </c>
      <c r="G36" s="34">
        <f t="shared" si="7"/>
        <v>58.72</v>
      </c>
      <c r="H36" s="34">
        <f t="shared" si="7"/>
        <v>61.11</v>
      </c>
      <c r="I36" s="30">
        <f t="shared" si="7"/>
        <v>64.165999999999997</v>
      </c>
      <c r="J36" s="30">
        <f t="shared" si="7"/>
        <v>67.373999999999995</v>
      </c>
      <c r="K36" s="30">
        <f t="shared" si="7"/>
        <v>70.742999999999995</v>
      </c>
      <c r="L36" s="30">
        <f t="shared" si="7"/>
        <v>74.28</v>
      </c>
      <c r="M36" s="30">
        <f t="shared" si="7"/>
        <v>77.994</v>
      </c>
      <c r="N36" s="30">
        <f t="shared" si="7"/>
        <v>59.781199999999998</v>
      </c>
      <c r="O36" s="30">
        <f t="shared" si="7"/>
        <v>58.971620000000001</v>
      </c>
      <c r="P36" s="34">
        <f>SUM(D36:O36)</f>
        <v>760.6448200000001</v>
      </c>
      <c r="R36" s="7">
        <f>+D36+E36+F36+G36+H36</f>
        <v>287.33499999999998</v>
      </c>
      <c r="T36" s="7">
        <f t="shared" si="1"/>
        <v>226.22499999999999</v>
      </c>
    </row>
    <row r="37" spans="2:20" s="3" customFormat="1" ht="18" customHeight="1" thickTop="1" thickBot="1">
      <c r="B37" s="260"/>
      <c r="C37" s="32" t="s">
        <v>67</v>
      </c>
      <c r="D37" s="35">
        <f>+(D36-'Producción Laminados 2014'!D36)/'Producción Laminados 2014'!D36</f>
        <v>3.0595786428108153E-2</v>
      </c>
      <c r="E37" s="35">
        <f>+(E36-'Producción Laminados 2014'!E36)/'Producción Laminados 2014'!E36</f>
        <v>-0.21986207850118397</v>
      </c>
      <c r="F37" s="35">
        <f>+(F36-'Producción Laminados 2014'!F36)/'Producción Laminados 2014'!F36</f>
        <v>9.5732326897953191E-2</v>
      </c>
      <c r="G37" s="35">
        <f>+(G36-'Producción Laminados 2014'!G36)/'Producción Laminados 2014'!G36</f>
        <v>1.8931440767669075E-2</v>
      </c>
      <c r="H37" s="35">
        <f>+(H36-'Producción Laminados 2014'!H36)/'Producción Laminados 2014'!H36</f>
        <v>5.5148836245597119E-2</v>
      </c>
      <c r="I37" s="35">
        <f>+(I36-'Producción Laminados 2014'!I36)/'Producción Laminados 2014'!I36</f>
        <v>0.14400328050063291</v>
      </c>
      <c r="J37" s="35">
        <f>+(J36-'Producción Laminados 2014'!J36)/'Producción Laminados 2014'!J36</f>
        <v>0.11963439966763603</v>
      </c>
      <c r="K37" s="35">
        <f>+(K36-'Producción Laminados 2014'!K36)/'Producción Laminados 2014'!K36</f>
        <v>0.15224118835103254</v>
      </c>
      <c r="L37" s="35">
        <f>+(L36-'Producción Laminados 2014'!L36)/'Producción Laminados 2014'!L36</f>
        <v>0.18926015466145787</v>
      </c>
      <c r="M37" s="35">
        <f>+(M36-'Producción Laminados 2014'!M36)/'Producción Laminados 2014'!M36</f>
        <v>0.24455862641220399</v>
      </c>
      <c r="N37" s="35">
        <f>+(N36-'Producción Laminados 2014'!N36)/'Producción Laminados 2014'!N36</f>
        <v>2.9999999999999985E-2</v>
      </c>
      <c r="O37" s="35">
        <f>+(O36-'Producción Laminados 2014'!O36)/'Producción Laminados 2014'!O36</f>
        <v>3.0000000000000065E-2</v>
      </c>
      <c r="P37" s="35">
        <f>+(P36-'Producción Laminados 2014'!P36)/'Producción Laminados 2014'!P36</f>
        <v>7.6278582101378889E-2</v>
      </c>
      <c r="R37" s="2"/>
      <c r="T37" s="2"/>
    </row>
    <row r="38" spans="2:20" s="3" customFormat="1" ht="18" customHeight="1" thickTop="1" thickBot="1">
      <c r="B38" s="260" t="s">
        <v>10</v>
      </c>
      <c r="C38" s="31" t="s">
        <v>65</v>
      </c>
      <c r="D38" s="30">
        <f>+'[1]Producción Laminados 2014'!D38*1.03</f>
        <v>9.3974522000000018</v>
      </c>
      <c r="E38" s="30">
        <v>8.7550000000000008</v>
      </c>
      <c r="F38" s="30">
        <f>+'[1]Producción Laminados 2014'!F38*1.03</f>
        <v>9.9438157</v>
      </c>
      <c r="G38" s="30">
        <f>+'[1]Producción Laminados 2014'!G38*1.03</f>
        <v>6.556362</v>
      </c>
      <c r="H38" s="30">
        <f>+'[1]Producción Laminados 2014'!H38*1.03</f>
        <v>11.1458154</v>
      </c>
      <c r="I38" s="30">
        <f>+'[1]Producción Laminados 2014'!I38*1.03</f>
        <v>6.7749074</v>
      </c>
      <c r="J38" s="30">
        <f>+'[1]Producción Laminados 2014'!J38*1.03</f>
        <v>8.741816</v>
      </c>
      <c r="K38" s="30">
        <f>+'[1]Producción Laminados 2014'!K38*1.03</f>
        <v>6.8841801</v>
      </c>
      <c r="L38" s="30">
        <f>+'[1]Producción Laminados 2014'!L38*1.03</f>
        <v>6.8841801</v>
      </c>
      <c r="M38" s="30">
        <f>+'[1]Producción Laminados 2014'!M38*1.03</f>
        <v>5.9007258</v>
      </c>
      <c r="N38" s="30">
        <f>+'[1]Producción Laminados 2014'!N38*1.03</f>
        <v>4.370908</v>
      </c>
      <c r="O38" s="30">
        <f>+'[1]Producción Laminados 2014'!O38*1.03</f>
        <v>0.10927270000000001</v>
      </c>
      <c r="P38" s="30">
        <f>SUM(D38:O38)</f>
        <v>85.464435399999999</v>
      </c>
      <c r="R38" s="7"/>
      <c r="T38" s="7">
        <f>+D38+E38+F38+G38</f>
        <v>34.652629900000001</v>
      </c>
    </row>
    <row r="39" spans="2:20" s="3" customFormat="1" ht="18" customHeight="1" thickTop="1" thickBot="1">
      <c r="B39" s="260"/>
      <c r="C39" s="29" t="s">
        <v>59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f>SUM(D39:O39)</f>
        <v>0</v>
      </c>
      <c r="R39" s="7"/>
      <c r="T39" s="7">
        <f t="shared" si="1"/>
        <v>0</v>
      </c>
    </row>
    <row r="40" spans="2:20" s="3" customFormat="1" ht="18" customHeight="1" thickTop="1" thickBot="1">
      <c r="B40" s="260"/>
      <c r="C40" s="29" t="s">
        <v>60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f>SUM(D40:O40)</f>
        <v>0</v>
      </c>
      <c r="R40" s="7"/>
      <c r="T40" s="7">
        <f t="shared" si="1"/>
        <v>0</v>
      </c>
    </row>
    <row r="41" spans="2:20" s="3" customFormat="1" ht="18" customHeight="1" thickTop="1" thickBot="1">
      <c r="B41" s="260"/>
      <c r="C41" s="29" t="s">
        <v>139</v>
      </c>
      <c r="D41" s="30">
        <f t="shared" ref="D41:O41" si="8">+D38+D39+D40</f>
        <v>9.3974522000000018</v>
      </c>
      <c r="E41" s="30">
        <f t="shared" si="8"/>
        <v>8.7550000000000008</v>
      </c>
      <c r="F41" s="30">
        <f t="shared" si="8"/>
        <v>9.9438157</v>
      </c>
      <c r="G41" s="30">
        <f t="shared" si="8"/>
        <v>6.556362</v>
      </c>
      <c r="H41" s="30">
        <f t="shared" si="8"/>
        <v>11.1458154</v>
      </c>
      <c r="I41" s="30">
        <f t="shared" si="8"/>
        <v>6.7749074</v>
      </c>
      <c r="J41" s="30">
        <f t="shared" si="8"/>
        <v>8.741816</v>
      </c>
      <c r="K41" s="30">
        <f t="shared" si="8"/>
        <v>6.8841801</v>
      </c>
      <c r="L41" s="30">
        <f t="shared" si="8"/>
        <v>6.8841801</v>
      </c>
      <c r="M41" s="30">
        <f t="shared" si="8"/>
        <v>5.9007258</v>
      </c>
      <c r="N41" s="30">
        <f t="shared" si="8"/>
        <v>4.370908</v>
      </c>
      <c r="O41" s="30">
        <f t="shared" si="8"/>
        <v>0.10927270000000001</v>
      </c>
      <c r="P41" s="30">
        <f>SUM(D41:O41)</f>
        <v>85.464435399999999</v>
      </c>
      <c r="R41" s="7">
        <f>+D41+E41+F41+G41+H41</f>
        <v>45.798445299999997</v>
      </c>
      <c r="T41" s="7">
        <f t="shared" si="1"/>
        <v>34.652629900000001</v>
      </c>
    </row>
    <row r="42" spans="2:20" s="3" customFormat="1" ht="18" customHeight="1" thickTop="1" thickBot="1">
      <c r="B42" s="260"/>
      <c r="C42" s="32" t="s">
        <v>67</v>
      </c>
      <c r="D42" s="37">
        <f>+(D41-'Producción Laminados 2014'!D41)/'Producción Laminados 2014'!D41</f>
        <v>3.0000000000000027E-2</v>
      </c>
      <c r="E42" s="37">
        <f>+(E41-'Producción Laminados 2014'!E41)/'Producción Laminados 2014'!E41</f>
        <v>6.3935590812220083E-3</v>
      </c>
      <c r="F42" s="37">
        <f>+(F41-'Producción Laminados 2014'!F41)/'Producción Laminados 2014'!F41</f>
        <v>3.0000000000000023E-2</v>
      </c>
      <c r="G42" s="37">
        <f>+(G41-'Producción Laminados 2014'!G41)/'Producción Laminados 2014'!G41</f>
        <v>2.9999999999999975E-2</v>
      </c>
      <c r="H42" s="37">
        <f>+(H41-'Producción Laminados 2014'!H41)/'Producción Laminados 2014'!H41</f>
        <v>3.0000000000000002E-2</v>
      </c>
      <c r="I42" s="37">
        <f>+(I41-'Producción Laminados 2014'!I41)/'Producción Laminados 2014'!I41</f>
        <v>2.9999999999999971E-2</v>
      </c>
      <c r="J42" s="37">
        <f>+(J41-'Producción Laminados 2014'!J41)/'Producción Laminados 2014'!J41</f>
        <v>3.0000000000000047E-2</v>
      </c>
      <c r="K42" s="37">
        <f>+(K41-'Producción Laminados 2014'!K41)/'Producción Laminados 2014'!K41</f>
        <v>2.9999999999999971E-2</v>
      </c>
      <c r="L42" s="37">
        <f>+(L41-'Producción Laminados 2014'!L41)/'Producción Laminados 2014'!L41</f>
        <v>2.9999999999999971E-2</v>
      </c>
      <c r="M42" s="37">
        <f>+(M41-'Producción Laminados 2014'!M41)/'Producción Laminados 2014'!M41</f>
        <v>2.9999999999999992E-2</v>
      </c>
      <c r="N42" s="37">
        <f>+(N41-'Producción Laminados 2014'!N41)/'Producción Laminados 2014'!N41</f>
        <v>3.0000000000000047E-2</v>
      </c>
      <c r="O42" s="37">
        <f>+(O41-'Producción Laminados 2014'!O41)/'Producción Laminados 2014'!O41</f>
        <v>2.9999999999999964E-2</v>
      </c>
      <c r="P42" s="37">
        <f>+(P41-'Producción Laminados 2014'!P41)/'Producción Laminados 2014'!P41</f>
        <v>2.753095898553596E-2</v>
      </c>
      <c r="R42" s="2"/>
      <c r="T42" s="2"/>
    </row>
    <row r="43" spans="2:20" s="3" customFormat="1" ht="18" customHeight="1" thickTop="1" thickBot="1">
      <c r="B43" s="260" t="s">
        <v>11</v>
      </c>
      <c r="C43" s="31" t="s">
        <v>65</v>
      </c>
      <c r="D43" s="30">
        <f>+'[1]Producción Laminados 2014'!D43*1.03</f>
        <v>37.131500000000003</v>
      </c>
      <c r="E43" s="30">
        <f>+'[1]Producción Laminados 2014'!E43*1.03</f>
        <v>38.988075000000002</v>
      </c>
      <c r="F43" s="30">
        <f>+'[1]Producción Laminados 2014'!F43*1.03</f>
        <v>40.938009200000003</v>
      </c>
      <c r="G43" s="30">
        <f>+'[1]Producción Laminados 2014'!G43*1.03</f>
        <v>42.984485300000003</v>
      </c>
      <c r="H43" s="30">
        <f>+'[1]Producción Laminados 2014'!H43*1.03</f>
        <v>45.133868700000001</v>
      </c>
      <c r="I43" s="30">
        <f>+'[1]Producción Laminados 2014'!I43*1.03</f>
        <v>47.390402999999999</v>
      </c>
      <c r="J43" s="30">
        <f>+'[1]Producción Laminados 2014'!J43*1.03</f>
        <v>49.760453600000005</v>
      </c>
      <c r="K43" s="30">
        <f>+'[1]Producción Laminados 2014'!K43*1.03</f>
        <v>52.248264100000007</v>
      </c>
      <c r="L43" s="30">
        <f>+'[1]Producción Laminados 2014'!L43*1.03</f>
        <v>54.860199899999998</v>
      </c>
      <c r="M43" s="30">
        <f>+'[1]Producción Laminados 2014'!M43*1.03</f>
        <v>57.603687300000004</v>
      </c>
      <c r="N43" s="30">
        <f>+'[1]Producción Laminados 2014'!N43*1.03</f>
        <v>60.484030800000006</v>
      </c>
      <c r="O43" s="30">
        <f>+'[1]Producción Laminados 2014'!O43*1.03</f>
        <v>63.508656700000003</v>
      </c>
      <c r="P43" s="34">
        <f>SUM(D43:O43)</f>
        <v>591.03163359999996</v>
      </c>
      <c r="R43" s="7"/>
      <c r="T43" s="7">
        <f>+D43+E43+F43+G43</f>
        <v>160.04206950000003</v>
      </c>
    </row>
    <row r="44" spans="2:20" s="3" customFormat="1" ht="18" customHeight="1" thickTop="1" thickBot="1">
      <c r="B44" s="260"/>
      <c r="C44" s="29" t="s">
        <v>59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4">
        <v>0</v>
      </c>
      <c r="O44" s="34">
        <v>0</v>
      </c>
      <c r="P44" s="34">
        <f>SUM(D44:O44)</f>
        <v>0</v>
      </c>
      <c r="R44" s="7"/>
      <c r="T44" s="7">
        <f t="shared" si="1"/>
        <v>0</v>
      </c>
    </row>
    <row r="45" spans="2:20" s="3" customFormat="1" ht="18" customHeight="1" thickTop="1" thickBot="1">
      <c r="B45" s="260"/>
      <c r="C45" s="29" t="s">
        <v>60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4">
        <v>0</v>
      </c>
      <c r="O45" s="34">
        <v>0</v>
      </c>
      <c r="P45" s="34">
        <f>SUM(D45:O45)</f>
        <v>0</v>
      </c>
      <c r="R45" s="7"/>
      <c r="T45" s="7">
        <f t="shared" si="1"/>
        <v>0</v>
      </c>
    </row>
    <row r="46" spans="2:20" s="3" customFormat="1" ht="18" customHeight="1" thickTop="1" thickBot="1">
      <c r="B46" s="260"/>
      <c r="C46" s="29" t="s">
        <v>139</v>
      </c>
      <c r="D46" s="30">
        <f t="shared" ref="D46:O46" si="9">+D43+D44+D45</f>
        <v>37.131500000000003</v>
      </c>
      <c r="E46" s="30">
        <f t="shared" si="9"/>
        <v>38.988075000000002</v>
      </c>
      <c r="F46" s="30">
        <f t="shared" si="9"/>
        <v>40.938009200000003</v>
      </c>
      <c r="G46" s="30">
        <f t="shared" si="9"/>
        <v>42.984485300000003</v>
      </c>
      <c r="H46" s="30">
        <f t="shared" si="9"/>
        <v>45.133868700000001</v>
      </c>
      <c r="I46" s="30">
        <f t="shared" si="9"/>
        <v>47.390402999999999</v>
      </c>
      <c r="J46" s="30">
        <f t="shared" si="9"/>
        <v>49.760453600000005</v>
      </c>
      <c r="K46" s="30">
        <f t="shared" si="9"/>
        <v>52.248264100000007</v>
      </c>
      <c r="L46" s="30">
        <f t="shared" si="9"/>
        <v>54.860199899999998</v>
      </c>
      <c r="M46" s="30">
        <f t="shared" si="9"/>
        <v>57.603687300000004</v>
      </c>
      <c r="N46" s="34">
        <f t="shared" si="9"/>
        <v>60.484030800000006</v>
      </c>
      <c r="O46" s="34">
        <f t="shared" si="9"/>
        <v>63.508656700000003</v>
      </c>
      <c r="P46" s="34">
        <f>SUM(D46:O46)</f>
        <v>591.03163359999996</v>
      </c>
      <c r="R46" s="7">
        <f>+D46+E46+F46+G46+H46</f>
        <v>205.17593820000002</v>
      </c>
      <c r="T46" s="7">
        <f t="shared" si="1"/>
        <v>160.04206950000003</v>
      </c>
    </row>
    <row r="47" spans="2:20" s="3" customFormat="1" ht="18" customHeight="1" thickTop="1" thickBot="1">
      <c r="B47" s="260"/>
      <c r="C47" s="32" t="s">
        <v>67</v>
      </c>
      <c r="D47" s="35">
        <f>+(D46-'Producción Laminados 2014'!D46)/'Producción Laminados 2014'!D46</f>
        <v>2.999999999999995E-2</v>
      </c>
      <c r="E47" s="35">
        <f>+(E46-'Producción Laminados 2014'!E46)/'Producción Laminados 2014'!E46</f>
        <v>3.0000000000000079E-2</v>
      </c>
      <c r="F47" s="35">
        <f>+(F46-'Producción Laminados 2014'!F46)/'Producción Laminados 2014'!F46</f>
        <v>3.0000000000000041E-2</v>
      </c>
      <c r="G47" s="35">
        <f>+(G46-'Producción Laminados 2014'!G46)/'Producción Laminados 2014'!G46</f>
        <v>2.999999999999995E-2</v>
      </c>
      <c r="H47" s="35">
        <f>+(H46-'Producción Laminados 2014'!H46)/'Producción Laminados 2014'!H46</f>
        <v>2.9999999999999964E-2</v>
      </c>
      <c r="I47" s="35">
        <f>+(I46-'Producción Laminados 2014'!I46)/'Producción Laminados 2014'!I46</f>
        <v>2.9999999999999954E-2</v>
      </c>
      <c r="J47" s="35">
        <f>+(J46-'Producción Laminados 2014'!J46)/'Producción Laminados 2014'!J46</f>
        <v>3.0000000000000054E-2</v>
      </c>
      <c r="K47" s="35">
        <f>+(K46-'Producción Laminados 2014'!K46)/'Producción Laminados 2014'!K46</f>
        <v>3.0000000000000016E-2</v>
      </c>
      <c r="L47" s="35">
        <f>+(L46-'Producción Laminados 2014'!L46)/'Producción Laminados 2014'!L46</f>
        <v>2.9999999999999985E-2</v>
      </c>
      <c r="M47" s="35">
        <f>+(M46-'Producción Laminados 2014'!M46)/'Producción Laminados 2014'!M46</f>
        <v>3.0000000000000044E-2</v>
      </c>
      <c r="N47" s="35">
        <f>+(N46-'Producción Laminados 2014'!N46)/'Producción Laminados 2014'!N46</f>
        <v>3.0000000000000075E-2</v>
      </c>
      <c r="O47" s="35">
        <f>+(O46-'Producción Laminados 2014'!O46)/'Producción Laminados 2014'!O46</f>
        <v>3.0000000000000058E-2</v>
      </c>
      <c r="P47" s="35">
        <f>+(P46-'Producción Laminados 2014'!P46)/'Producción Laminados 2014'!P46</f>
        <v>2.9999999999999857E-2</v>
      </c>
      <c r="R47" s="2"/>
      <c r="T47" s="2"/>
    </row>
    <row r="48" spans="2:20" ht="18" customHeight="1" thickTop="1" thickBot="1">
      <c r="B48" s="260" t="s">
        <v>43</v>
      </c>
      <c r="C48" s="31" t="s">
        <v>65</v>
      </c>
      <c r="D48" s="34">
        <v>696.39400000000001</v>
      </c>
      <c r="E48" s="34">
        <v>696.13199999999995</v>
      </c>
      <c r="F48" s="34">
        <v>680.44</v>
      </c>
      <c r="G48" s="34">
        <v>671.92700000000002</v>
      </c>
      <c r="H48" s="34">
        <v>711.53300000000002</v>
      </c>
      <c r="I48" s="34">
        <v>665.15</v>
      </c>
      <c r="J48" s="34">
        <v>672</v>
      </c>
      <c r="K48" s="34">
        <v>695.87199999999996</v>
      </c>
      <c r="L48" s="34">
        <v>736.58799999999997</v>
      </c>
      <c r="M48" s="34">
        <v>726.79399999999998</v>
      </c>
      <c r="N48" s="34">
        <v>721.02300000000002</v>
      </c>
      <c r="O48" s="34">
        <v>627.58900000000006</v>
      </c>
      <c r="P48" s="34">
        <f>SUM(D48:O48)</f>
        <v>8301.4420000000009</v>
      </c>
      <c r="R48" s="7"/>
      <c r="T48" s="7">
        <f>+D48+E48+F48+G48</f>
        <v>2744.893</v>
      </c>
    </row>
    <row r="49" spans="2:20" ht="18" customHeight="1" thickTop="1" thickBot="1">
      <c r="B49" s="260"/>
      <c r="C49" s="29" t="s">
        <v>59</v>
      </c>
      <c r="D49" s="34">
        <v>683.12</v>
      </c>
      <c r="E49" s="34">
        <v>695.33699999999999</v>
      </c>
      <c r="F49" s="34">
        <v>706.15499999999997</v>
      </c>
      <c r="G49" s="34">
        <v>731.71600000000001</v>
      </c>
      <c r="H49" s="34">
        <v>728.06600000000003</v>
      </c>
      <c r="I49" s="34">
        <v>740.28</v>
      </c>
      <c r="J49" s="34">
        <v>726.149</v>
      </c>
      <c r="K49" s="34">
        <v>740.32899999999995</v>
      </c>
      <c r="L49" s="34">
        <v>734.27499999999998</v>
      </c>
      <c r="M49" s="34">
        <v>723.423</v>
      </c>
      <c r="N49" s="34">
        <v>646.45299999999997</v>
      </c>
      <c r="O49" s="34">
        <v>677.29399999999998</v>
      </c>
      <c r="P49" s="34">
        <f>SUM(D49:O49)</f>
        <v>8532.5969999999998</v>
      </c>
      <c r="R49" s="7"/>
      <c r="T49" s="7">
        <f t="shared" si="1"/>
        <v>2816.328</v>
      </c>
    </row>
    <row r="50" spans="2:20" ht="18" customHeight="1" thickTop="1" thickBot="1">
      <c r="B50" s="260"/>
      <c r="C50" s="29" t="s">
        <v>60</v>
      </c>
      <c r="D50" s="34">
        <v>80.400000000000006</v>
      </c>
      <c r="E50" s="34">
        <v>61.384</v>
      </c>
      <c r="F50" s="34">
        <v>52.640999999999998</v>
      </c>
      <c r="G50" s="34">
        <v>43.825000000000003</v>
      </c>
      <c r="H50" s="34">
        <v>47.744999999999997</v>
      </c>
      <c r="I50" s="34">
        <v>56.984000000000002</v>
      </c>
      <c r="J50" s="34">
        <v>74.156000000000006</v>
      </c>
      <c r="K50" s="34">
        <v>72.650000000000006</v>
      </c>
      <c r="L50" s="34">
        <v>72.465000000000003</v>
      </c>
      <c r="M50" s="34">
        <v>64.040000000000006</v>
      </c>
      <c r="N50" s="34">
        <v>43.850999999999999</v>
      </c>
      <c r="O50" s="34">
        <v>68.936000000000007</v>
      </c>
      <c r="P50" s="34">
        <f>SUM(D50:O50)</f>
        <v>739.077</v>
      </c>
      <c r="R50" s="7"/>
      <c r="T50" s="7">
        <f t="shared" si="1"/>
        <v>238.25</v>
      </c>
    </row>
    <row r="51" spans="2:20" ht="18" customHeight="1" thickTop="1" thickBot="1">
      <c r="B51" s="260"/>
      <c r="C51" s="29" t="s">
        <v>139</v>
      </c>
      <c r="D51" s="34">
        <f t="shared" ref="D51:O51" si="10">+D48+D49+D50</f>
        <v>1459.9140000000002</v>
      </c>
      <c r="E51" s="34">
        <f t="shared" si="10"/>
        <v>1452.8530000000001</v>
      </c>
      <c r="F51" s="34">
        <f t="shared" si="10"/>
        <v>1439.2360000000001</v>
      </c>
      <c r="G51" s="34">
        <f t="shared" si="10"/>
        <v>1447.4680000000001</v>
      </c>
      <c r="H51" s="34">
        <f t="shared" si="10"/>
        <v>1487.3440000000001</v>
      </c>
      <c r="I51" s="34">
        <f t="shared" si="10"/>
        <v>1462.4139999999998</v>
      </c>
      <c r="J51" s="34">
        <f t="shared" si="10"/>
        <v>1472.3049999999998</v>
      </c>
      <c r="K51" s="34">
        <f t="shared" si="10"/>
        <v>1508.8510000000001</v>
      </c>
      <c r="L51" s="34">
        <f t="shared" si="10"/>
        <v>1543.3279999999997</v>
      </c>
      <c r="M51" s="34">
        <f t="shared" si="10"/>
        <v>1514.2570000000001</v>
      </c>
      <c r="N51" s="34">
        <f t="shared" si="10"/>
        <v>1411.3270000000002</v>
      </c>
      <c r="O51" s="34">
        <f t="shared" si="10"/>
        <v>1373.819</v>
      </c>
      <c r="P51" s="34">
        <f>SUM(D51:O51)</f>
        <v>17573.115999999998</v>
      </c>
      <c r="Q51" s="4" t="s">
        <v>17</v>
      </c>
      <c r="R51" s="7">
        <f>+D51+E51+F51+G51+H51</f>
        <v>7286.8150000000005</v>
      </c>
      <c r="T51" s="7">
        <f t="shared" si="1"/>
        <v>5799.4710000000005</v>
      </c>
    </row>
    <row r="52" spans="2:20" ht="18" customHeight="1" thickTop="1" thickBot="1">
      <c r="B52" s="260"/>
      <c r="C52" s="32" t="s">
        <v>67</v>
      </c>
      <c r="D52" s="35">
        <f>+(D51-'Producción Laminados 2014'!D51)/'Producción Laminados 2014'!D51</f>
        <v>1.777942305238886E-2</v>
      </c>
      <c r="E52" s="35">
        <f>+(E51-'Producción Laminados 2014'!E51)/'Producción Laminados 2014'!E51</f>
        <v>3.0288439036636035E-2</v>
      </c>
      <c r="F52" s="35">
        <f>+(F51-'Producción Laminados 2014'!F51)/'Producción Laminados 2014'!F51</f>
        <v>-7.7543501850058358E-2</v>
      </c>
      <c r="G52" s="35">
        <f>+(G51-'Producción Laminados 2014'!G51)/'Producción Laminados 2014'!G51</f>
        <v>-2.8656442784083004E-2</v>
      </c>
      <c r="H52" s="35">
        <f>+(H51-'Producción Laminados 2014'!H51)/'Producción Laminados 2014'!H51</f>
        <v>-4.7823785071767988E-2</v>
      </c>
      <c r="I52" s="35">
        <f>+(I51-'Producción Laminados 2014'!I51)/'Producción Laminados 2014'!I51</f>
        <v>-2.1590502346648565E-2</v>
      </c>
      <c r="J52" s="35">
        <f>+(J51-'Producción Laminados 2014'!J51)/'Producción Laminados 2014'!J51</f>
        <v>-4.7689541423318622E-3</v>
      </c>
      <c r="K52" s="35">
        <f>+(K51-'Producción Laminados 2014'!K51)/'Producción Laminados 2014'!K51</f>
        <v>1.5445174342032238E-2</v>
      </c>
      <c r="L52" s="35">
        <f>+(L51-'Producción Laminados 2014'!L51)/'Producción Laminados 2014'!L51</f>
        <v>3.870525279324049E-2</v>
      </c>
      <c r="M52" s="35">
        <f>+(M51-'Producción Laminados 2014'!M51)/'Producción Laminados 2014'!M51</f>
        <v>2.1945145572097549E-2</v>
      </c>
      <c r="N52" s="35">
        <f>+(N51-'Producción Laminados 2014'!N51)/'Producción Laminados 2014'!N51</f>
        <v>1.6281214963164099E-2</v>
      </c>
      <c r="O52" s="35">
        <f>+(O51-'Producción Laminados 2014'!O51)/'Producción Laminados 2014'!O51</f>
        <v>-6.4701373041332721E-2</v>
      </c>
      <c r="P52" s="35">
        <f>+(P51-'Producción Laminados 2014'!P51)/'Producción Laminados 2014'!P51</f>
        <v>-9.5227896181224372E-3</v>
      </c>
    </row>
    <row r="53" spans="2:20" s="3" customFormat="1" ht="18" customHeight="1" thickTop="1" thickBot="1">
      <c r="B53" s="260" t="s">
        <v>6</v>
      </c>
      <c r="C53" s="31" t="s">
        <v>65</v>
      </c>
      <c r="D53" s="30">
        <f>+'[1]Producción Laminados 2014'!D53*1.03</f>
        <v>1.274119682</v>
      </c>
      <c r="E53" s="30">
        <f>+'[1]Producción Laminados 2014'!E53*1.03</f>
        <v>1.6030305090000003</v>
      </c>
      <c r="F53" s="30">
        <f>+'[1]Producción Laminados 2014'!F53*1.03</f>
        <v>1.6827995800000002</v>
      </c>
      <c r="G53" s="30">
        <f>+'[1]Producción Laminados 2014'!G53*1.03</f>
        <v>1.7669395590000001</v>
      </c>
      <c r="H53" s="30">
        <f>+'[1]Producción Laminados 2014'!H53*1.03</f>
        <v>1.8554504460000001</v>
      </c>
      <c r="I53" s="30">
        <f>+'[1]Producción Laminados 2014'!I53*1.03</f>
        <v>1.9483322409999999</v>
      </c>
      <c r="J53" s="30">
        <f>+'[1]Producción Laminados 2014'!J53*1.03</f>
        <v>2.0455849440000002</v>
      </c>
      <c r="K53" s="30">
        <f>+'[1]Producción Laminados 2014'!K53*1.03</f>
        <v>2.1483012820000003</v>
      </c>
      <c r="L53" s="30">
        <f>+'[1]Producción Laminados 2014'!L53*1.03</f>
        <v>2.2553885280000001</v>
      </c>
      <c r="M53" s="30">
        <f>+'[1]Producción Laminados 2014'!M53*1.03</f>
        <v>2.3679394089999999</v>
      </c>
      <c r="N53" s="30">
        <f>+'[1]Producción Laminados 2014'!N53*1.03</f>
        <v>2.485953925</v>
      </c>
      <c r="O53" s="30">
        <f>+'[1]Producción Laminados 2014'!O53*1.03</f>
        <v>2.6105248030000001</v>
      </c>
      <c r="P53" s="34">
        <f>SUM(D53:O53)</f>
        <v>24.044364907999999</v>
      </c>
      <c r="R53" s="7"/>
      <c r="T53" s="7">
        <f>+D53+E53+F53+G53</f>
        <v>6.3268893300000002</v>
      </c>
    </row>
    <row r="54" spans="2:20" s="3" customFormat="1" ht="18" customHeight="1" thickTop="1" thickBot="1">
      <c r="B54" s="260"/>
      <c r="C54" s="29" t="s">
        <v>59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4">
        <v>0</v>
      </c>
      <c r="O54" s="34">
        <v>0</v>
      </c>
      <c r="P54" s="34">
        <f>SUM(D54:O54)</f>
        <v>0</v>
      </c>
      <c r="R54" s="7"/>
      <c r="T54" s="7">
        <f t="shared" si="1"/>
        <v>0</v>
      </c>
    </row>
    <row r="55" spans="2:20" s="3" customFormat="1" ht="18" customHeight="1" thickTop="1" thickBot="1">
      <c r="B55" s="260"/>
      <c r="C55" s="29" t="s">
        <v>60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4">
        <v>0</v>
      </c>
      <c r="O55" s="34">
        <v>0</v>
      </c>
      <c r="P55" s="34">
        <f>SUM(D55:O55)</f>
        <v>0</v>
      </c>
      <c r="R55" s="7"/>
      <c r="T55" s="7">
        <f t="shared" si="1"/>
        <v>0</v>
      </c>
    </row>
    <row r="56" spans="2:20" s="3" customFormat="1" ht="18" customHeight="1" thickTop="1" thickBot="1">
      <c r="B56" s="260"/>
      <c r="C56" s="29" t="s">
        <v>139</v>
      </c>
      <c r="D56" s="30">
        <f t="shared" ref="D56:O56" si="11">+D53+D54+D55</f>
        <v>1.274119682</v>
      </c>
      <c r="E56" s="30">
        <f t="shared" si="11"/>
        <v>1.6030305090000003</v>
      </c>
      <c r="F56" s="30">
        <f t="shared" si="11"/>
        <v>1.6827995800000002</v>
      </c>
      <c r="G56" s="30">
        <f t="shared" si="11"/>
        <v>1.7669395590000001</v>
      </c>
      <c r="H56" s="30">
        <f t="shared" si="11"/>
        <v>1.8554504460000001</v>
      </c>
      <c r="I56" s="30">
        <f t="shared" si="11"/>
        <v>1.9483322409999999</v>
      </c>
      <c r="J56" s="30">
        <f t="shared" si="11"/>
        <v>2.0455849440000002</v>
      </c>
      <c r="K56" s="30">
        <f t="shared" si="11"/>
        <v>2.1483012820000003</v>
      </c>
      <c r="L56" s="30">
        <f t="shared" si="11"/>
        <v>2.2553885280000001</v>
      </c>
      <c r="M56" s="30">
        <f t="shared" si="11"/>
        <v>2.3679394089999999</v>
      </c>
      <c r="N56" s="30">
        <f t="shared" si="11"/>
        <v>2.485953925</v>
      </c>
      <c r="O56" s="30">
        <f t="shared" si="11"/>
        <v>2.6105248030000001</v>
      </c>
      <c r="P56" s="34">
        <f>SUM(D56:O56)</f>
        <v>24.044364907999999</v>
      </c>
      <c r="R56" s="7">
        <f>+D56+E56+F56+G56+H56</f>
        <v>8.182339776000001</v>
      </c>
      <c r="T56" s="7">
        <f t="shared" si="1"/>
        <v>6.3268893300000002</v>
      </c>
    </row>
    <row r="57" spans="2:20" s="3" customFormat="1" ht="18" customHeight="1" thickTop="1" thickBot="1">
      <c r="B57" s="260"/>
      <c r="C57" s="32" t="s">
        <v>67</v>
      </c>
      <c r="D57" s="35">
        <f>+(D56-'Producción Laminados 2014'!D56)/'Producción Laminados 2014'!D56</f>
        <v>2.9999999999999995E-2</v>
      </c>
      <c r="E57" s="35">
        <f>+(E56-'Producción Laminados 2014'!E56)/'Producción Laminados 2014'!E56</f>
        <v>3.0000000000000054E-2</v>
      </c>
      <c r="F57" s="35">
        <f>+(F56-'Producción Laminados 2014'!F56)/'Producción Laminados 2014'!F56</f>
        <v>0.03</v>
      </c>
      <c r="G57" s="35">
        <f>+(G56-'Producción Laminados 2014'!G56)/'Producción Laminados 2014'!G56</f>
        <v>3.0000000000000041E-2</v>
      </c>
      <c r="H57" s="35">
        <f>+(H56-'Producción Laminados 2014'!H56)/'Producción Laminados 2014'!H56</f>
        <v>3.0000000000000041E-2</v>
      </c>
      <c r="I57" s="35">
        <f>+(I56-'Producción Laminados 2014'!I56)/'Producción Laminados 2014'!I56</f>
        <v>3.0000000000000009E-2</v>
      </c>
      <c r="J57" s="35">
        <f>+(J56-'Producción Laminados 2014'!J56)/'Producción Laminados 2014'!J56</f>
        <v>3.0000000000000054E-2</v>
      </c>
      <c r="K57" s="35">
        <f>+(K56-'Producción Laminados 2014'!K56)/'Producción Laminados 2014'!K56</f>
        <v>2.9999999999999926E-2</v>
      </c>
      <c r="L57" s="35">
        <f>+(L56-'Producción Laminados 2014'!L56)/'Producción Laminados 2014'!L56</f>
        <v>2.9999999999999988E-2</v>
      </c>
      <c r="M57" s="35">
        <f>+(M56-'Producción Laminados 2014'!M56)/'Producción Laminados 2014'!M56</f>
        <v>3.0000000000000089E-2</v>
      </c>
      <c r="N57" s="35">
        <f>+(N56-'Producción Laminados 2014'!N56)/'Producción Laminados 2014'!N56</f>
        <v>3.0000000000000023E-2</v>
      </c>
      <c r="O57" s="35">
        <f>+(O56-'Producción Laminados 2014'!O56)/'Producción Laminados 2014'!O56</f>
        <v>2.9999999999999968E-2</v>
      </c>
      <c r="P57" s="35">
        <f>+(P56-'Producción Laminados 2014'!P56)/'Producción Laminados 2014'!P56</f>
        <v>2.9999999999999978E-2</v>
      </c>
      <c r="R57" s="2"/>
      <c r="T57" s="2"/>
    </row>
    <row r="58" spans="2:20" s="3" customFormat="1" ht="18" customHeight="1" thickTop="1" thickBot="1">
      <c r="B58" s="261" t="s">
        <v>44</v>
      </c>
      <c r="C58" s="31" t="s">
        <v>65</v>
      </c>
      <c r="D58" s="34">
        <f>120215/1000</f>
        <v>120.215</v>
      </c>
      <c r="E58" s="34">
        <f>107288/1000</f>
        <v>107.288</v>
      </c>
      <c r="F58" s="34">
        <f>99381/1000</f>
        <v>99.381</v>
      </c>
      <c r="G58" s="34">
        <f>84078/1000</f>
        <v>84.078000000000003</v>
      </c>
      <c r="H58" s="34">
        <f>80174/1000</f>
        <v>80.174000000000007</v>
      </c>
      <c r="I58" s="34">
        <f>115283/1000</f>
        <v>115.283</v>
      </c>
      <c r="J58" s="34">
        <f>130403/1000</f>
        <v>130.40299999999999</v>
      </c>
      <c r="K58" s="34">
        <f>126176/1000</f>
        <v>126.176</v>
      </c>
      <c r="L58" s="34">
        <f>109631/1000</f>
        <v>109.631</v>
      </c>
      <c r="M58" s="34">
        <f>113420/1000</f>
        <v>113.42</v>
      </c>
      <c r="N58" s="34">
        <f>96035/1000</f>
        <v>96.034999999999997</v>
      </c>
      <c r="O58" s="34">
        <f>108866/1000</f>
        <v>108.866</v>
      </c>
      <c r="P58" s="34">
        <f>SUM(D58:O58)</f>
        <v>1290.95</v>
      </c>
      <c r="R58" s="7"/>
      <c r="T58" s="7">
        <f>+D58+E58+F58+G58</f>
        <v>410.96199999999999</v>
      </c>
    </row>
    <row r="59" spans="2:20" s="3" customFormat="1" ht="18" customHeight="1" thickTop="1" thickBot="1">
      <c r="B59" s="261"/>
      <c r="C59" s="29" t="s">
        <v>59</v>
      </c>
      <c r="D59" s="34">
        <v>4.57</v>
      </c>
      <c r="E59" s="34">
        <v>4.3170000000000002</v>
      </c>
      <c r="F59" s="34">
        <v>3.391</v>
      </c>
      <c r="G59" s="34">
        <v>3.85</v>
      </c>
      <c r="H59" s="34">
        <v>4.3949999999999996</v>
      </c>
      <c r="I59" s="34">
        <v>4.1360000000000001</v>
      </c>
      <c r="J59" s="34">
        <v>4.4240000000000004</v>
      </c>
      <c r="K59" s="34">
        <v>4.2069999999999999</v>
      </c>
      <c r="L59" s="34">
        <v>4.4269999999999996</v>
      </c>
      <c r="M59" s="34">
        <v>4.7380000000000004</v>
      </c>
      <c r="N59" s="34">
        <v>4.2359999999999998</v>
      </c>
      <c r="O59" s="34">
        <v>4.8860000000000001</v>
      </c>
      <c r="P59" s="34">
        <f>SUM(D59:O59)</f>
        <v>51.576999999999998</v>
      </c>
      <c r="R59" s="7"/>
      <c r="T59" s="7">
        <f t="shared" si="1"/>
        <v>16.128</v>
      </c>
    </row>
    <row r="60" spans="2:20" s="3" customFormat="1" ht="18" customHeight="1" thickTop="1" thickBot="1">
      <c r="B60" s="261"/>
      <c r="C60" s="29" t="s">
        <v>60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f>SUM(D60:O60)</f>
        <v>0</v>
      </c>
      <c r="R60" s="7"/>
      <c r="T60" s="7">
        <f t="shared" si="1"/>
        <v>0</v>
      </c>
    </row>
    <row r="61" spans="2:20" s="3" customFormat="1" ht="18" customHeight="1" thickTop="1" thickBot="1">
      <c r="B61" s="261"/>
      <c r="C61" s="29" t="s">
        <v>139</v>
      </c>
      <c r="D61" s="34">
        <f t="shared" ref="D61:O61" si="12">+D58+D59+D60</f>
        <v>124.785</v>
      </c>
      <c r="E61" s="34">
        <f t="shared" si="12"/>
        <v>111.60499999999999</v>
      </c>
      <c r="F61" s="34">
        <f t="shared" si="12"/>
        <v>102.77200000000001</v>
      </c>
      <c r="G61" s="34">
        <f t="shared" si="12"/>
        <v>87.927999999999997</v>
      </c>
      <c r="H61" s="34">
        <f t="shared" si="12"/>
        <v>84.569000000000003</v>
      </c>
      <c r="I61" s="34">
        <f t="shared" si="12"/>
        <v>119.419</v>
      </c>
      <c r="J61" s="34">
        <f t="shared" si="12"/>
        <v>134.827</v>
      </c>
      <c r="K61" s="34">
        <f t="shared" si="12"/>
        <v>130.38300000000001</v>
      </c>
      <c r="L61" s="34">
        <f t="shared" si="12"/>
        <v>114.05799999999999</v>
      </c>
      <c r="M61" s="34">
        <f t="shared" si="12"/>
        <v>118.158</v>
      </c>
      <c r="N61" s="34">
        <f t="shared" si="12"/>
        <v>100.271</v>
      </c>
      <c r="O61" s="34">
        <f t="shared" si="12"/>
        <v>113.752</v>
      </c>
      <c r="P61" s="34">
        <f>SUM(D61:O61)</f>
        <v>1342.5269999999998</v>
      </c>
      <c r="R61" s="7">
        <f>+D61+E61+F61+G61+H61</f>
        <v>511.65899999999999</v>
      </c>
      <c r="T61" s="7">
        <f t="shared" si="1"/>
        <v>427.09</v>
      </c>
    </row>
    <row r="62" spans="2:20" s="3" customFormat="1" ht="18" customHeight="1" thickTop="1" thickBot="1">
      <c r="B62" s="261"/>
      <c r="C62" s="32" t="s">
        <v>67</v>
      </c>
      <c r="D62" s="35">
        <f>+(D61-'Producción Laminados 2014'!D61)/'Producción Laminados 2014'!D61</f>
        <v>7.4482283549317532E-2</v>
      </c>
      <c r="E62" s="35">
        <f>+(E61-'Producción Laminados 2014'!E61)/'Producción Laminados 2014'!E61</f>
        <v>5.5048020613725967E-3</v>
      </c>
      <c r="F62" s="35">
        <f>+(F61-'Producción Laminados 2014'!F61)/'Producción Laminados 2014'!F61</f>
        <v>-3.2907056620463164E-2</v>
      </c>
      <c r="G62" s="35">
        <f>+(G61-'Producción Laminados 2014'!G61)/'Producción Laminados 2014'!G61</f>
        <v>-5.4364776356968549E-2</v>
      </c>
      <c r="H62" s="35">
        <f>+(H61-'Producción Laminados 2014'!H61)/'Producción Laminados 2014'!H61</f>
        <v>-0.32421029079198654</v>
      </c>
      <c r="I62" s="35">
        <f>+(I61-'Producción Laminados 2014'!I61)/'Producción Laminados 2014'!I61</f>
        <v>-2.6303559052550038E-2</v>
      </c>
      <c r="J62" s="35">
        <f>+(J61-'Producción Laminados 2014'!J61)/'Producción Laminados 2014'!J61</f>
        <v>0.21799342342993425</v>
      </c>
      <c r="K62" s="35">
        <f>+(K61-'Producción Laminados 2014'!K61)/'Producción Laminados 2014'!K61</f>
        <v>0.14936661994552153</v>
      </c>
      <c r="L62" s="35">
        <f>+(L61-'Producción Laminados 2014'!L61)/'Producción Laminados 2014'!L61</f>
        <v>5.0393236697180065E-2</v>
      </c>
      <c r="M62" s="35">
        <f>+(M61-'Producción Laminados 2014'!M61)/'Producción Laminados 2014'!M61</f>
        <v>6.0280970625798073E-3</v>
      </c>
      <c r="N62" s="35">
        <f>+(N61-'Producción Laminados 2014'!N61)/'Producción Laminados 2014'!N61</f>
        <v>-0.18222892794519435</v>
      </c>
      <c r="O62" s="35">
        <f>+(O61-'Producción Laminados 2014'!O61)/'Producción Laminados 2014'!O61</f>
        <v>-8.7589835728952792E-2</v>
      </c>
      <c r="P62" s="35">
        <f>+(P61-'Producción Laminados 2014'!P61)/'Producción Laminados 2014'!P61</f>
        <v>-2.1214253166864254E-2</v>
      </c>
      <c r="R62" s="2"/>
      <c r="T62" s="2"/>
    </row>
    <row r="63" spans="2:20" s="3" customFormat="1" ht="18" customHeight="1" thickTop="1" thickBot="1">
      <c r="B63" s="261" t="s">
        <v>64</v>
      </c>
      <c r="C63" s="31" t="s">
        <v>65</v>
      </c>
      <c r="D63" s="34">
        <f>38815/1000</f>
        <v>38.814999999999998</v>
      </c>
      <c r="E63" s="34">
        <f>36044/1000</f>
        <v>36.043999999999997</v>
      </c>
      <c r="F63" s="34">
        <f>38987/1000</f>
        <v>38.987000000000002</v>
      </c>
      <c r="G63" s="34">
        <v>25.39</v>
      </c>
      <c r="H63" s="34">
        <v>32.683</v>
      </c>
      <c r="I63" s="34">
        <f>39372/1000</f>
        <v>39.372</v>
      </c>
      <c r="J63" s="34">
        <f>34069/1000</f>
        <v>34.069000000000003</v>
      </c>
      <c r="K63" s="34">
        <f>39150/1000</f>
        <v>39.15</v>
      </c>
      <c r="L63" s="34">
        <f>42032/1000</f>
        <v>42.031999999999996</v>
      </c>
      <c r="M63" s="34">
        <f>50364/1000</f>
        <v>50.363999999999997</v>
      </c>
      <c r="N63" s="34">
        <v>28.552</v>
      </c>
      <c r="O63" s="34">
        <v>20.254999999999999</v>
      </c>
      <c r="P63" s="34">
        <f>SUM(D63:O63)</f>
        <v>425.71299999999997</v>
      </c>
      <c r="R63" s="7"/>
      <c r="T63" s="7">
        <f>+D63+E63+F63+G63</f>
        <v>139.23599999999999</v>
      </c>
    </row>
    <row r="64" spans="2:20" s="3" customFormat="1" ht="18" customHeight="1" thickTop="1" thickBot="1">
      <c r="B64" s="261"/>
      <c r="C64" s="29" t="s">
        <v>59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f>SUM(D64:O64)</f>
        <v>0</v>
      </c>
      <c r="R64" s="7"/>
      <c r="T64" s="7">
        <f t="shared" si="1"/>
        <v>0</v>
      </c>
    </row>
    <row r="65" spans="2:20" s="3" customFormat="1" ht="18" customHeight="1" thickTop="1" thickBot="1">
      <c r="B65" s="261"/>
      <c r="C65" s="29" t="s">
        <v>60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f>SUM(D65:O65)</f>
        <v>0</v>
      </c>
      <c r="R65" s="7"/>
      <c r="T65" s="7">
        <f t="shared" si="1"/>
        <v>0</v>
      </c>
    </row>
    <row r="66" spans="2:20" s="3" customFormat="1" ht="18" customHeight="1" thickTop="1" thickBot="1">
      <c r="B66" s="261"/>
      <c r="C66" s="29" t="s">
        <v>139</v>
      </c>
      <c r="D66" s="34">
        <f t="shared" ref="D66:O66" si="13">+D63+D64+D65</f>
        <v>38.814999999999998</v>
      </c>
      <c r="E66" s="34">
        <f t="shared" si="13"/>
        <v>36.043999999999997</v>
      </c>
      <c r="F66" s="34">
        <f t="shared" si="13"/>
        <v>38.987000000000002</v>
      </c>
      <c r="G66" s="34">
        <f t="shared" si="13"/>
        <v>25.39</v>
      </c>
      <c r="H66" s="34">
        <f t="shared" si="13"/>
        <v>32.683</v>
      </c>
      <c r="I66" s="34">
        <f t="shared" si="13"/>
        <v>39.372</v>
      </c>
      <c r="J66" s="34">
        <f t="shared" si="13"/>
        <v>34.069000000000003</v>
      </c>
      <c r="K66" s="34">
        <f t="shared" si="13"/>
        <v>39.15</v>
      </c>
      <c r="L66" s="34">
        <f t="shared" si="13"/>
        <v>42.031999999999996</v>
      </c>
      <c r="M66" s="34">
        <f t="shared" si="13"/>
        <v>50.363999999999997</v>
      </c>
      <c r="N66" s="34">
        <f t="shared" si="13"/>
        <v>28.552</v>
      </c>
      <c r="O66" s="34">
        <f t="shared" si="13"/>
        <v>20.254999999999999</v>
      </c>
      <c r="P66" s="34">
        <f>SUM(D66:O66)</f>
        <v>425.71299999999997</v>
      </c>
      <c r="R66" s="7">
        <f>+D66+E66+F66+G66+H66</f>
        <v>171.91899999999998</v>
      </c>
      <c r="T66" s="7">
        <f t="shared" si="1"/>
        <v>139.23599999999999</v>
      </c>
    </row>
    <row r="67" spans="2:20" s="3" customFormat="1" ht="18" customHeight="1" thickTop="1" thickBot="1">
      <c r="B67" s="261"/>
      <c r="C67" s="32" t="s">
        <v>67</v>
      </c>
      <c r="D67" s="35">
        <f>+(D66-'Producción Laminados 2014'!D66)/'Producción Laminados 2014'!D66</f>
        <v>0.15493334920257085</v>
      </c>
      <c r="E67" s="35">
        <f>+(E66-'Producción Laminados 2014'!E66)/'Producción Laminados 2014'!E66</f>
        <v>6.343305599811172E-2</v>
      </c>
      <c r="F67" s="35">
        <f>+(F66-'Producción Laminados 2014'!F66)/'Producción Laminados 2014'!F66</f>
        <v>-4.0107346858380882E-2</v>
      </c>
      <c r="G67" s="35">
        <f>+(G66-'Producción Laminados 2014'!G66)/'Producción Laminados 2014'!G66</f>
        <v>-0.34617464527592506</v>
      </c>
      <c r="H67" s="35">
        <f>+(H66-'Producción Laminados 2014'!H66)/'Producción Laminados 2014'!H66</f>
        <v>-0.25957726376837859</v>
      </c>
      <c r="I67" s="35">
        <f>+(I66-'Producción Laminados 2014'!I66)/'Producción Laminados 2014'!I66</f>
        <v>-3.4242543171114616E-2</v>
      </c>
      <c r="J67" s="35">
        <f>+(J66-'Producción Laminados 2014'!J66)/'Producción Laminados 2014'!J66</f>
        <v>-0.20649819494584837</v>
      </c>
      <c r="K67" s="35">
        <f>+(K66-'Producción Laminados 2014'!K66)/'Producción Laminados 2014'!K66</f>
        <v>-9.0782414826168722E-2</v>
      </c>
      <c r="L67" s="35">
        <f>+(L66-'Producción Laminados 2014'!L66)/'Producción Laminados 2014'!L66</f>
        <v>-3.9312488571951132E-2</v>
      </c>
      <c r="M67" s="35">
        <f>+(M66-'Producción Laminados 2014'!M66)/'Producción Laminados 2014'!M66</f>
        <v>3.61470570082498E-2</v>
      </c>
      <c r="N67" s="35">
        <f>+(N66-'Producción Laminados 2014'!N66)/'Producción Laminados 2014'!N66</f>
        <v>-0.44611922636714585</v>
      </c>
      <c r="O67" s="35">
        <f>+(O66-'Producción Laminados 2014'!O66)/'Producción Laminados 2014'!O66</f>
        <v>-0.62578058603998077</v>
      </c>
      <c r="P67" s="35">
        <f>+(P66-'Producción Laminados 2014'!P66)/'Producción Laminados 2014'!P66</f>
        <v>-0.17479569208820514</v>
      </c>
      <c r="R67" s="2"/>
      <c r="T67" s="2"/>
    </row>
    <row r="68" spans="2:20" s="3" customFormat="1" ht="18" customHeight="1" thickTop="1" thickBot="1">
      <c r="B68" s="261" t="s">
        <v>62</v>
      </c>
      <c r="C68" s="31" t="s">
        <v>65</v>
      </c>
      <c r="D68" s="30">
        <f>+'[1]Producción Laminados 2014'!D68*1.03</f>
        <v>25.977398971000003</v>
      </c>
      <c r="E68" s="30">
        <f>+'[1]Producción Laminados 2014'!E68*1.03</f>
        <v>27.276651374</v>
      </c>
      <c r="F68" s="30">
        <f>+'[1]Producción Laminados 2014'!F68*1.03</f>
        <v>28.640374670000003</v>
      </c>
      <c r="G68" s="30">
        <f>+'[1]Producción Laminados 2014'!G68*1.03</f>
        <v>30.072939767000005</v>
      </c>
      <c r="H68" s="30">
        <f>+'[1]Producción Laminados 2014'!H68*1.03</f>
        <v>31.576532118999999</v>
      </c>
      <c r="I68" s="30">
        <f>+'[1]Producción Laminados 2014'!I68*1.03</f>
        <v>33.155522634000008</v>
      </c>
      <c r="J68" s="30">
        <f>+'[1]Producción Laminados 2014'!J68*1.03</f>
        <v>34.813189493000003</v>
      </c>
      <c r="K68" s="30">
        <f>+'[1]Producción Laminados 2014'!K68*1.03</f>
        <v>36.553903603999998</v>
      </c>
      <c r="L68" s="30">
        <f>+'[1]Producción Laminados 2014'!L68*1.03</f>
        <v>38.382035875000007</v>
      </c>
      <c r="M68" s="30">
        <f>+'[1]Producción Laminados 2014'!M68*1.03</f>
        <v>40.300864487000005</v>
      </c>
      <c r="N68" s="30">
        <f>+'[1]Producción Laminados 2014'!N68*1.03</f>
        <v>42.315853075000007</v>
      </c>
      <c r="O68" s="30">
        <f>+'[1]Producción Laminados 2014'!O68*1.03</f>
        <v>44.431372547000002</v>
      </c>
      <c r="P68" s="34">
        <f>SUM(D68:O68)</f>
        <v>413.49663861600004</v>
      </c>
      <c r="R68" s="7"/>
      <c r="T68" s="7">
        <f>+D68+E68+F68+G68</f>
        <v>111.96736478200002</v>
      </c>
    </row>
    <row r="69" spans="2:20" s="3" customFormat="1" ht="18" customHeight="1" thickTop="1" thickBot="1">
      <c r="B69" s="261"/>
      <c r="C69" s="29" t="s">
        <v>59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4">
        <v>0</v>
      </c>
      <c r="O69" s="34">
        <v>0</v>
      </c>
      <c r="P69" s="34">
        <f>SUM(D69:O69)</f>
        <v>0</v>
      </c>
      <c r="R69" s="7"/>
      <c r="T69" s="7">
        <f t="shared" si="1"/>
        <v>0</v>
      </c>
    </row>
    <row r="70" spans="2:20" s="3" customFormat="1" ht="18" customHeight="1" thickTop="1" thickBot="1">
      <c r="B70" s="261"/>
      <c r="C70" s="29" t="s">
        <v>60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4">
        <v>0</v>
      </c>
      <c r="O70" s="34">
        <v>0</v>
      </c>
      <c r="P70" s="34">
        <f>SUM(D70:O70)</f>
        <v>0</v>
      </c>
      <c r="R70" s="7"/>
      <c r="T70" s="7">
        <f t="shared" si="1"/>
        <v>0</v>
      </c>
    </row>
    <row r="71" spans="2:20" s="3" customFormat="1" ht="18" customHeight="1" thickTop="1" thickBot="1">
      <c r="B71" s="261"/>
      <c r="C71" s="29" t="s">
        <v>139</v>
      </c>
      <c r="D71" s="30">
        <f t="shared" ref="D71:O71" si="14">+D68+D69+D70</f>
        <v>25.977398971000003</v>
      </c>
      <c r="E71" s="30">
        <f t="shared" si="14"/>
        <v>27.276651374</v>
      </c>
      <c r="F71" s="30">
        <f t="shared" si="14"/>
        <v>28.640374670000003</v>
      </c>
      <c r="G71" s="30">
        <f t="shared" si="14"/>
        <v>30.072939767000005</v>
      </c>
      <c r="H71" s="30">
        <f t="shared" si="14"/>
        <v>31.576532118999999</v>
      </c>
      <c r="I71" s="30">
        <f t="shared" si="14"/>
        <v>33.155522634000008</v>
      </c>
      <c r="J71" s="30">
        <f t="shared" si="14"/>
        <v>34.813189493000003</v>
      </c>
      <c r="K71" s="30">
        <f t="shared" si="14"/>
        <v>36.553903603999998</v>
      </c>
      <c r="L71" s="30">
        <f t="shared" si="14"/>
        <v>38.382035875000007</v>
      </c>
      <c r="M71" s="30">
        <f t="shared" si="14"/>
        <v>40.300864487000005</v>
      </c>
      <c r="N71" s="30">
        <f t="shared" si="14"/>
        <v>42.315853075000007</v>
      </c>
      <c r="O71" s="34">
        <f t="shared" si="14"/>
        <v>44.431372547000002</v>
      </c>
      <c r="P71" s="34">
        <f>SUM(D71:O71)</f>
        <v>413.49663861600004</v>
      </c>
      <c r="R71" s="7">
        <f>+D71+E71+F71+G71+H71</f>
        <v>143.54389690100001</v>
      </c>
      <c r="T71" s="7">
        <f t="shared" si="1"/>
        <v>111.96736478200002</v>
      </c>
    </row>
    <row r="72" spans="2:20" s="3" customFormat="1" ht="18" customHeight="1" thickTop="1" thickBot="1">
      <c r="B72" s="261"/>
      <c r="C72" s="32" t="s">
        <v>67</v>
      </c>
      <c r="D72" s="35">
        <f>+(D71-'Producción Laminados 2014'!D71)/'Producción Laminados 2014'!D71</f>
        <v>3.0000000000000089E-2</v>
      </c>
      <c r="E72" s="35">
        <f>+(E71-'Producción Laminados 2014'!E71)/'Producción Laminados 2014'!E71</f>
        <v>3.0000000000000006E-2</v>
      </c>
      <c r="F72" s="35">
        <f>+(F71-'Producción Laminados 2014'!F71)/'Producción Laminados 2014'!F71</f>
        <v>0.03</v>
      </c>
      <c r="G72" s="35">
        <f>+(G71-'Producción Laminados 2014'!G71)/'Producción Laminados 2014'!G71</f>
        <v>3.0000000000000058E-2</v>
      </c>
      <c r="H72" s="35">
        <f>+(H71-'Producción Laminados 2014'!H71)/'Producción Laminados 2014'!H71</f>
        <v>2.9999999999999988E-2</v>
      </c>
      <c r="I72" s="35">
        <f>+(I71-'Producción Laminados 2014'!I71)/'Producción Laminados 2014'!I71</f>
        <v>3.0000000000000127E-2</v>
      </c>
      <c r="J72" s="35">
        <f>+(J71-'Producción Laminados 2014'!J71)/'Producción Laminados 2014'!J71</f>
        <v>0.03</v>
      </c>
      <c r="K72" s="35">
        <f>+(K71-'Producción Laminados 2014'!K71)/'Producción Laminados 2014'!K71</f>
        <v>3.0000000000000037E-2</v>
      </c>
      <c r="L72" s="35">
        <f>+(L71-'Producción Laminados 2014'!L71)/'Producción Laminados 2014'!L71</f>
        <v>3.0000000000000096E-2</v>
      </c>
      <c r="M72" s="35">
        <f>+(M71-'Producción Laminados 2014'!M71)/'Producción Laminados 2014'!M71</f>
        <v>3.0000000000000075E-2</v>
      </c>
      <c r="N72" s="35">
        <f>+(N71-'Producción Laminados 2014'!N71)/'Producción Laminados 2014'!N71</f>
        <v>3.0000000000000072E-2</v>
      </c>
      <c r="O72" s="35">
        <f>+(O71-'Producción Laminados 2014'!O71)/'Producción Laminados 2014'!O71</f>
        <v>3.0000000000000002E-2</v>
      </c>
      <c r="P72" s="35">
        <f>+(P71-'Producción Laminados 2014'!P71)/'Producción Laminados 2014'!P71</f>
        <v>2.9999999999999919E-2</v>
      </c>
      <c r="R72" s="2"/>
      <c r="T72" s="2"/>
    </row>
    <row r="73" spans="2:20" s="3" customFormat="1" ht="18" customHeight="1" thickTop="1" thickBot="1">
      <c r="B73" s="260" t="s">
        <v>7</v>
      </c>
      <c r="C73" s="31" t="s">
        <v>65</v>
      </c>
      <c r="D73" s="30">
        <f>+'[1]Producción Laminados 2014'!D73*1.03</f>
        <v>4.2834898399999997</v>
      </c>
      <c r="E73" s="30">
        <f>+'[1]Producción Laminados 2014'!E73*1.03</f>
        <v>3.4388118689999998</v>
      </c>
      <c r="F73" s="30">
        <f>+'[1]Producción Laminados 2014'!F73*1.03</f>
        <v>7.4513054130000009</v>
      </c>
      <c r="G73" s="30">
        <f>+'[1]Producción Laminados 2014'!G73*1.03</f>
        <v>6.1771857310000007</v>
      </c>
      <c r="H73" s="30">
        <f>+'[1]Producción Laminados 2014'!H73*1.03</f>
        <v>8.7571141780000001</v>
      </c>
      <c r="I73" s="30">
        <f>+'[1]Producción Laminados 2014'!I73*1.03</f>
        <v>8.3200233780000001</v>
      </c>
      <c r="J73" s="30">
        <f>+'[1]Producción Laminados 2014'!J73*1.03</f>
        <v>8.3855869980000008</v>
      </c>
      <c r="K73" s="30">
        <f>+'[1]Producción Laminados 2014'!K73*1.03</f>
        <v>7.4884581310000007</v>
      </c>
      <c r="L73" s="30">
        <f>+'[1]Producción Laminados 2014'!L73*1.03</f>
        <v>6.5017256500000009</v>
      </c>
      <c r="M73" s="30">
        <f>+'[1]Producción Laminados 2014'!M73*1.03</f>
        <v>7.7616398810000007</v>
      </c>
      <c r="N73" s="30">
        <f>+'[1]Producción Laminados 2014'!N73*1.03</f>
        <v>7.6141217360000004</v>
      </c>
      <c r="O73" s="30">
        <f>+'[1]Producción Laminados 2014'!O73*1.03</f>
        <v>4.8932315059999993</v>
      </c>
      <c r="P73" s="34">
        <f>SUM(D73:O73)</f>
        <v>81.072694310999992</v>
      </c>
      <c r="R73" s="7"/>
      <c r="T73" s="7">
        <f t="shared" ref="T73:T86" si="15">+D73+E73+F73+G73</f>
        <v>21.350792853000002</v>
      </c>
    </row>
    <row r="74" spans="2:20" s="3" customFormat="1" ht="18" customHeight="1" thickTop="1" thickBot="1">
      <c r="B74" s="260"/>
      <c r="C74" s="29" t="s">
        <v>59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4">
        <v>0</v>
      </c>
      <c r="O74" s="34">
        <v>0</v>
      </c>
      <c r="P74" s="34">
        <f>SUM(D74:O74)</f>
        <v>0</v>
      </c>
      <c r="R74" s="7"/>
      <c r="T74" s="7">
        <f t="shared" si="15"/>
        <v>0</v>
      </c>
    </row>
    <row r="75" spans="2:20" s="3" customFormat="1" ht="18" customHeight="1" thickTop="1" thickBot="1">
      <c r="B75" s="260"/>
      <c r="C75" s="29" t="s">
        <v>60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4">
        <v>0</v>
      </c>
      <c r="O75" s="34">
        <v>0</v>
      </c>
      <c r="P75" s="34">
        <f>SUM(D75:O75)</f>
        <v>0</v>
      </c>
      <c r="R75" s="7"/>
      <c r="T75" s="7">
        <f t="shared" si="15"/>
        <v>0</v>
      </c>
    </row>
    <row r="76" spans="2:20" s="3" customFormat="1" ht="18" customHeight="1" thickTop="1" thickBot="1">
      <c r="B76" s="260"/>
      <c r="C76" s="29" t="s">
        <v>139</v>
      </c>
      <c r="D76" s="30">
        <f t="shared" ref="D76:O76" si="16">+D73+D74+D75</f>
        <v>4.2834898399999997</v>
      </c>
      <c r="E76" s="30">
        <f t="shared" si="16"/>
        <v>3.4388118689999998</v>
      </c>
      <c r="F76" s="30">
        <f t="shared" si="16"/>
        <v>7.4513054130000009</v>
      </c>
      <c r="G76" s="30">
        <f t="shared" si="16"/>
        <v>6.1771857310000007</v>
      </c>
      <c r="H76" s="30">
        <f t="shared" si="16"/>
        <v>8.7571141780000001</v>
      </c>
      <c r="I76" s="30">
        <f t="shared" si="16"/>
        <v>8.3200233780000001</v>
      </c>
      <c r="J76" s="30">
        <f t="shared" si="16"/>
        <v>8.3855869980000008</v>
      </c>
      <c r="K76" s="30">
        <f t="shared" si="16"/>
        <v>7.4884581310000007</v>
      </c>
      <c r="L76" s="30">
        <f t="shared" si="16"/>
        <v>6.5017256500000009</v>
      </c>
      <c r="M76" s="30">
        <f t="shared" si="16"/>
        <v>7.7616398810000007</v>
      </c>
      <c r="N76" s="30">
        <f t="shared" si="16"/>
        <v>7.6141217360000004</v>
      </c>
      <c r="O76" s="30">
        <f t="shared" si="16"/>
        <v>4.8932315059999993</v>
      </c>
      <c r="P76" s="34">
        <f>SUM(D76:O76)</f>
        <v>81.072694310999992</v>
      </c>
      <c r="R76" s="7">
        <f>+D76+E76+F76+G76+H76</f>
        <v>30.107907031000003</v>
      </c>
      <c r="T76" s="7">
        <f t="shared" si="15"/>
        <v>21.350792853000002</v>
      </c>
    </row>
    <row r="77" spans="2:20" s="3" customFormat="1" ht="18" customHeight="1" thickTop="1" thickBot="1">
      <c r="B77" s="260"/>
      <c r="C77" s="32" t="s">
        <v>67</v>
      </c>
      <c r="D77" s="35">
        <f>+(D76-'Producción Laminados 2014'!D76)/'Producción Laminados 2014'!D76</f>
        <v>2.9999999999999923E-2</v>
      </c>
      <c r="E77" s="35">
        <f>+(E76-'Producción Laminados 2014'!E76)/'Producción Laminados 2014'!E76</f>
        <v>3.0000000000000037E-2</v>
      </c>
      <c r="F77" s="35">
        <f>+(F76-'Producción Laminados 2014'!F76)/'Producción Laminados 2014'!F76</f>
        <v>3.0000000000000016E-2</v>
      </c>
      <c r="G77" s="35">
        <f>+(G76-'Producción Laminados 2014'!G76)/'Producción Laminados 2014'!G76</f>
        <v>3.0000000000000096E-2</v>
      </c>
      <c r="H77" s="35">
        <f>+(H76-'Producción Laminados 2014'!H76)/'Producción Laminados 2014'!H76</f>
        <v>2.9999999999999926E-2</v>
      </c>
      <c r="I77" s="35">
        <f>+(I76-'Producción Laminados 2014'!I76)/'Producción Laminados 2014'!I76</f>
        <v>2.9999999999999933E-2</v>
      </c>
      <c r="J77" s="35">
        <f>+(J76-'Producción Laminados 2014'!J76)/'Producción Laminados 2014'!J76</f>
        <v>3.0000000000000065E-2</v>
      </c>
      <c r="K77" s="35">
        <f>+(K76-'Producción Laminados 2014'!K76)/'Producción Laminados 2014'!K76</f>
        <v>3.0000000000000051E-2</v>
      </c>
      <c r="L77" s="35">
        <f>+(L76-'Producción Laminados 2014'!L76)/'Producción Laminados 2014'!L76</f>
        <v>2.9999999999999975E-2</v>
      </c>
      <c r="M77" s="35">
        <f>+(M76-'Producción Laminados 2014'!M76)/'Producción Laminados 2014'!M76</f>
        <v>3.0000000000000044E-2</v>
      </c>
      <c r="N77" s="35">
        <f>+(N76-'Producción Laminados 2014'!N76)/'Producción Laminados 2014'!N76</f>
        <v>3.0000000000000023E-2</v>
      </c>
      <c r="O77" s="35">
        <f>+(O76-'Producción Laminados 2014'!O76)/'Producción Laminados 2014'!O76</f>
        <v>2.9999999999999982E-2</v>
      </c>
      <c r="P77" s="35">
        <f>+(P76-'Producción Laminados 2014'!P76)/'Producción Laminados 2014'!P76</f>
        <v>2.9999999999999853E-2</v>
      </c>
      <c r="R77" s="2"/>
      <c r="T77" s="2"/>
    </row>
    <row r="78" spans="2:20" ht="18" customHeight="1" thickTop="1" thickBot="1">
      <c r="B78" s="260" t="s">
        <v>3</v>
      </c>
      <c r="C78" s="31" t="s">
        <v>65</v>
      </c>
      <c r="D78" s="34">
        <f>48576/1000</f>
        <v>48.576000000000001</v>
      </c>
      <c r="E78" s="34">
        <f>45109/1000</f>
        <v>45.109000000000002</v>
      </c>
      <c r="F78" s="34">
        <f>68558/1000</f>
        <v>68.558000000000007</v>
      </c>
      <c r="G78" s="34">
        <f>43372/1000</f>
        <v>43.372</v>
      </c>
      <c r="H78" s="34">
        <v>29.277999999999999</v>
      </c>
      <c r="I78" s="34">
        <f>35181/1000</f>
        <v>35.180999999999997</v>
      </c>
      <c r="J78" s="34">
        <f>41605/1000</f>
        <v>41.604999999999997</v>
      </c>
      <c r="K78" s="34">
        <v>29.536000000000001</v>
      </c>
      <c r="L78" s="34">
        <v>30.443000000000001</v>
      </c>
      <c r="M78" s="34">
        <f>47241/1000</f>
        <v>47.241</v>
      </c>
      <c r="N78" s="34">
        <f>42669/1000</f>
        <v>42.668999999999997</v>
      </c>
      <c r="O78" s="34">
        <f>42551/1000</f>
        <v>42.551000000000002</v>
      </c>
      <c r="P78" s="34">
        <f>SUM(D78:O78)</f>
        <v>504.11899999999997</v>
      </c>
      <c r="R78" s="7"/>
      <c r="T78" s="7">
        <f>+D78+E78+F78+G78</f>
        <v>205.61500000000001</v>
      </c>
    </row>
    <row r="79" spans="2:20" ht="18" customHeight="1" thickTop="1" thickBot="1">
      <c r="B79" s="260"/>
      <c r="C79" s="29" t="s">
        <v>59</v>
      </c>
      <c r="D79" s="34">
        <f>79354/1000</f>
        <v>79.353999999999999</v>
      </c>
      <c r="E79" s="34">
        <f>67016/1000</f>
        <v>67.016000000000005</v>
      </c>
      <c r="F79" s="34">
        <f>81299/1000</f>
        <v>81.299000000000007</v>
      </c>
      <c r="G79" s="34">
        <f>76290/1000</f>
        <v>76.290000000000006</v>
      </c>
      <c r="H79" s="34">
        <f>59083/1000</f>
        <v>59.082999999999998</v>
      </c>
      <c r="I79" s="34">
        <f>71183/1000</f>
        <v>71.183000000000007</v>
      </c>
      <c r="J79" s="34">
        <f>49815/1000</f>
        <v>49.814999999999998</v>
      </c>
      <c r="K79" s="34">
        <f>67487/1000</f>
        <v>67.486999999999995</v>
      </c>
      <c r="L79" s="34">
        <f>63265/1000</f>
        <v>63.265000000000001</v>
      </c>
      <c r="M79" s="34">
        <f>46283/1000</f>
        <v>46.283000000000001</v>
      </c>
      <c r="N79" s="34">
        <f>49169/1000</f>
        <v>49.168999999999997</v>
      </c>
      <c r="O79" s="34">
        <f>46205/1000</f>
        <v>46.204999999999998</v>
      </c>
      <c r="P79" s="34">
        <f>SUM(D79:O79)</f>
        <v>756.44900000000007</v>
      </c>
      <c r="R79" s="7"/>
      <c r="T79" s="7">
        <f t="shared" si="15"/>
        <v>303.959</v>
      </c>
    </row>
    <row r="80" spans="2:20" ht="18" customHeight="1" thickTop="1" thickBot="1">
      <c r="B80" s="260"/>
      <c r="C80" s="29" t="s">
        <v>60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f>SUM(D80:O80)</f>
        <v>0</v>
      </c>
      <c r="R80" s="7"/>
      <c r="T80" s="7">
        <f t="shared" si="15"/>
        <v>0</v>
      </c>
    </row>
    <row r="81" spans="2:20" ht="18" customHeight="1" thickTop="1" thickBot="1">
      <c r="B81" s="260"/>
      <c r="C81" s="29" t="s">
        <v>139</v>
      </c>
      <c r="D81" s="34">
        <f t="shared" ref="D81:O81" si="17">+D78+D79+D80</f>
        <v>127.93</v>
      </c>
      <c r="E81" s="34">
        <f t="shared" si="17"/>
        <v>112.125</v>
      </c>
      <c r="F81" s="34">
        <f t="shared" si="17"/>
        <v>149.85700000000003</v>
      </c>
      <c r="G81" s="34">
        <f t="shared" si="17"/>
        <v>119.66200000000001</v>
      </c>
      <c r="H81" s="34">
        <f t="shared" si="17"/>
        <v>88.36099999999999</v>
      </c>
      <c r="I81" s="34">
        <f t="shared" si="17"/>
        <v>106.364</v>
      </c>
      <c r="J81" s="34">
        <f t="shared" si="17"/>
        <v>91.419999999999987</v>
      </c>
      <c r="K81" s="34">
        <f t="shared" si="17"/>
        <v>97.022999999999996</v>
      </c>
      <c r="L81" s="34">
        <f t="shared" si="17"/>
        <v>93.707999999999998</v>
      </c>
      <c r="M81" s="34">
        <f t="shared" si="17"/>
        <v>93.524000000000001</v>
      </c>
      <c r="N81" s="34">
        <f t="shared" si="17"/>
        <v>91.837999999999994</v>
      </c>
      <c r="O81" s="34">
        <f t="shared" si="17"/>
        <v>88.756</v>
      </c>
      <c r="P81" s="34">
        <f>SUM(D81:O81)</f>
        <v>1260.5680000000002</v>
      </c>
      <c r="R81" s="7">
        <f>+D81+E81+F81+G81+H81</f>
        <v>597.93500000000006</v>
      </c>
      <c r="T81" s="7">
        <f t="shared" si="15"/>
        <v>509.57400000000007</v>
      </c>
    </row>
    <row r="82" spans="2:20" ht="18" customHeight="1" thickTop="1" thickBot="1">
      <c r="B82" s="260"/>
      <c r="C82" s="32" t="s">
        <v>67</v>
      </c>
      <c r="D82" s="35">
        <f>+(D81-'Producción Laminados 2014'!D81)/'Producción Laminados 2014'!D81</f>
        <v>-0.23654418829483131</v>
      </c>
      <c r="E82" s="35">
        <f>+(E81-'Producción Laminados 2014'!E81)/'Producción Laminados 2014'!E81</f>
        <v>0.18698524274311359</v>
      </c>
      <c r="F82" s="35">
        <f>+(F81-'Producción Laminados 2014'!F81)/'Producción Laminados 2014'!F81</f>
        <v>0.81087319041979899</v>
      </c>
      <c r="G82" s="35">
        <f>+(G81-'Producción Laminados 2014'!G81)/'Producción Laminados 2014'!G81</f>
        <v>-0.2136409654797701</v>
      </c>
      <c r="H82" s="35">
        <f>+(H81-'Producción Laminados 2014'!H81)/'Producción Laminados 2014'!H81</f>
        <v>-0.19061097371072638</v>
      </c>
      <c r="I82" s="35">
        <f>+(I81-'Producción Laminados 2014'!I81)/'Producción Laminados 2014'!I81</f>
        <v>8.9237071172555027E-2</v>
      </c>
      <c r="J82" s="35">
        <f>+(J81-'Producción Laminados 2014'!J81)/'Producción Laminados 2014'!J81</f>
        <v>-8.7397055153481631E-2</v>
      </c>
      <c r="K82" s="35">
        <f>+(K81-'Producción Laminados 2014'!K81)/'Producción Laminados 2014'!K81</f>
        <v>0.19141646712101668</v>
      </c>
      <c r="L82" s="35">
        <f>+(L81-'Producción Laminados 2014'!L81)/'Producción Laminados 2014'!L81</f>
        <v>-7.0587651872055582E-2</v>
      </c>
      <c r="M82" s="35">
        <f>+(M81-'Producción Laminados 2014'!M81)/'Producción Laminados 2014'!M81</f>
        <v>-0.29443006842649239</v>
      </c>
      <c r="N82" s="35">
        <f>+(N81-'Producción Laminados 2014'!N81)/'Producción Laminados 2014'!N81</f>
        <v>-0.20687094099765102</v>
      </c>
      <c r="O82" s="35">
        <f>+(O81-'Producción Laminados 2014'!O81)/'Producción Laminados 2014'!O81</f>
        <v>-0.29704342591932581</v>
      </c>
      <c r="P82" s="35">
        <f>+(P81-'Producción Laminados 2014'!P81)/'Producción Laminados 2014'!P81</f>
        <v>-7.366635248711581E-2</v>
      </c>
    </row>
    <row r="83" spans="2:20" s="3" customFormat="1" ht="18" customHeight="1" thickTop="1" thickBot="1">
      <c r="B83" s="261" t="s">
        <v>61</v>
      </c>
      <c r="C83" s="31" t="s">
        <v>65</v>
      </c>
      <c r="D83" s="34">
        <f>+D3+D8+D13+D18+D23+D28+D33+D38+D43+D48+D53+D58+D63+D68+D73+D78</f>
        <v>2177.6930606930005</v>
      </c>
      <c r="E83" s="30">
        <f t="shared" ref="D83:P85" si="18">+E3+E8+E13+E18+E23+E28+E33+E38+E43+E48+E53+E58+E63+E68+E73+E78</f>
        <v>2232.9909737519993</v>
      </c>
      <c r="F83" s="30">
        <f t="shared" si="18"/>
        <v>2324.7174602629993</v>
      </c>
      <c r="G83" s="30">
        <f t="shared" si="18"/>
        <v>2223.6224471569999</v>
      </c>
      <c r="H83" s="30">
        <f t="shared" si="18"/>
        <v>2254.2685667429992</v>
      </c>
      <c r="I83" s="30">
        <f t="shared" si="18"/>
        <v>2102.5433412529997</v>
      </c>
      <c r="J83" s="30">
        <f t="shared" si="18"/>
        <v>2211.0137475349998</v>
      </c>
      <c r="K83" s="30">
        <f t="shared" si="18"/>
        <v>2305.5339143169999</v>
      </c>
      <c r="L83" s="30">
        <f t="shared" si="18"/>
        <v>2169.924630553</v>
      </c>
      <c r="M83" s="34">
        <f t="shared" si="18"/>
        <v>2396.7580971769999</v>
      </c>
      <c r="N83" s="34">
        <f t="shared" si="18"/>
        <v>2262.0905985360005</v>
      </c>
      <c r="O83" s="34">
        <f t="shared" si="18"/>
        <v>1780.7275162559999</v>
      </c>
      <c r="P83" s="34">
        <f t="shared" si="18"/>
        <v>26441.884354234997</v>
      </c>
      <c r="Q83" s="5"/>
      <c r="R83" s="7"/>
      <c r="T83" s="7">
        <f>+D83+E83+F83+G83</f>
        <v>8959.0239418649981</v>
      </c>
    </row>
    <row r="84" spans="2:20" s="3" customFormat="1" ht="18" customHeight="1" thickTop="1" thickBot="1">
      <c r="B84" s="261"/>
      <c r="C84" s="29" t="s">
        <v>59</v>
      </c>
      <c r="D84" s="34">
        <f t="shared" si="18"/>
        <v>2242.261</v>
      </c>
      <c r="E84" s="30">
        <f t="shared" si="18"/>
        <v>2134.1179999999999</v>
      </c>
      <c r="F84" s="30">
        <f t="shared" si="18"/>
        <v>2328.1089999999999</v>
      </c>
      <c r="G84" s="30">
        <f t="shared" si="18"/>
        <v>2249.4</v>
      </c>
      <c r="H84" s="30">
        <f t="shared" si="18"/>
        <v>2097.9670000000001</v>
      </c>
      <c r="I84" s="30">
        <f t="shared" si="18"/>
        <v>2218.1109999999999</v>
      </c>
      <c r="J84" s="30">
        <f t="shared" si="18"/>
        <v>2195.136</v>
      </c>
      <c r="K84" s="30">
        <f t="shared" si="18"/>
        <v>2091.143</v>
      </c>
      <c r="L84" s="30">
        <f t="shared" si="18"/>
        <v>1989.75</v>
      </c>
      <c r="M84" s="34">
        <f t="shared" si="18"/>
        <v>2095.3919999999998</v>
      </c>
      <c r="N84" s="34">
        <f t="shared" si="18"/>
        <v>2025.9790000000003</v>
      </c>
      <c r="O84" s="34">
        <f t="shared" si="18"/>
        <v>2057.3729999999996</v>
      </c>
      <c r="P84" s="34">
        <f>SUM(D84:O84)</f>
        <v>25724.739000000001</v>
      </c>
      <c r="Q84" s="5"/>
      <c r="R84" s="7"/>
      <c r="T84" s="7">
        <f t="shared" si="15"/>
        <v>8953.887999999999</v>
      </c>
    </row>
    <row r="85" spans="2:20" s="3" customFormat="1" ht="18" customHeight="1" thickTop="1" thickBot="1">
      <c r="B85" s="261"/>
      <c r="C85" s="29" t="s">
        <v>60</v>
      </c>
      <c r="D85" s="34">
        <f t="shared" si="18"/>
        <v>116.77500000000001</v>
      </c>
      <c r="E85" s="30">
        <f t="shared" si="18"/>
        <v>85.671999999999997</v>
      </c>
      <c r="F85" s="30">
        <f t="shared" si="18"/>
        <v>88.405000000000001</v>
      </c>
      <c r="G85" s="30">
        <f t="shared" si="18"/>
        <v>71.31</v>
      </c>
      <c r="H85" s="30">
        <f t="shared" si="18"/>
        <v>66.765999999999991</v>
      </c>
      <c r="I85" s="30">
        <f t="shared" si="18"/>
        <v>81.052000000000007</v>
      </c>
      <c r="J85" s="30">
        <f t="shared" si="18"/>
        <v>103.039</v>
      </c>
      <c r="K85" s="30">
        <f t="shared" si="18"/>
        <v>102.04900000000001</v>
      </c>
      <c r="L85" s="30">
        <f t="shared" si="18"/>
        <v>112.423</v>
      </c>
      <c r="M85" s="34">
        <f t="shared" si="18"/>
        <v>100.465</v>
      </c>
      <c r="N85" s="34">
        <f t="shared" si="18"/>
        <v>73.06</v>
      </c>
      <c r="O85" s="34">
        <f t="shared" si="18"/>
        <v>97.909000000000006</v>
      </c>
      <c r="P85" s="34">
        <f>SUM(D85:O85)</f>
        <v>1098.9250000000002</v>
      </c>
      <c r="Q85" s="5"/>
      <c r="R85" s="7"/>
      <c r="T85" s="7">
        <f t="shared" si="15"/>
        <v>362.16199999999998</v>
      </c>
    </row>
    <row r="86" spans="2:20" s="3" customFormat="1" ht="18" customHeight="1" thickTop="1" thickBot="1">
      <c r="B86" s="261"/>
      <c r="C86" s="29" t="s">
        <v>139</v>
      </c>
      <c r="D86" s="34">
        <f t="shared" ref="D86:O86" si="19">+D83+D84+D85</f>
        <v>4536.7290606930001</v>
      </c>
      <c r="E86" s="30">
        <f t="shared" si="19"/>
        <v>4452.7809737519992</v>
      </c>
      <c r="F86" s="30">
        <f t="shared" si="19"/>
        <v>4741.2314602629986</v>
      </c>
      <c r="G86" s="30">
        <f t="shared" si="19"/>
        <v>4544.3324471570004</v>
      </c>
      <c r="H86" s="30">
        <f t="shared" si="19"/>
        <v>4419.0015667429989</v>
      </c>
      <c r="I86" s="30">
        <f t="shared" si="19"/>
        <v>4401.7063412529988</v>
      </c>
      <c r="J86" s="30">
        <f t="shared" si="19"/>
        <v>4509.1887475349995</v>
      </c>
      <c r="K86" s="30">
        <f t="shared" si="19"/>
        <v>4498.7259143170004</v>
      </c>
      <c r="L86" s="30">
        <f t="shared" si="19"/>
        <v>4272.0976305529994</v>
      </c>
      <c r="M86" s="34">
        <f t="shared" si="19"/>
        <v>4592.6150971770003</v>
      </c>
      <c r="N86" s="34">
        <f t="shared" si="19"/>
        <v>4361.1295985360011</v>
      </c>
      <c r="O86" s="34">
        <f t="shared" si="19"/>
        <v>3936.0095162559996</v>
      </c>
      <c r="P86" s="34">
        <f>SUM(D86:O86)</f>
        <v>53265.548354235012</v>
      </c>
      <c r="Q86" s="5"/>
      <c r="R86" s="7">
        <f>+D86+E86+F86+G86+H86</f>
        <v>22694.075508607999</v>
      </c>
      <c r="T86" s="7">
        <f t="shared" si="15"/>
        <v>18275.073941865001</v>
      </c>
    </row>
    <row r="87" spans="2:20" ht="18" customHeight="1" thickTop="1" thickBot="1">
      <c r="B87" s="261"/>
      <c r="C87" s="32" t="s">
        <v>67</v>
      </c>
      <c r="D87" s="35">
        <f>+(D86-'Producción Laminados 2014'!D86)/'Producción Laminados 2014'!D86</f>
        <v>-7.2558916972068057E-3</v>
      </c>
      <c r="E87" s="35">
        <f>+(E86-'Producción Laminados 2014'!E86)/'Producción Laminados 2014'!E86</f>
        <v>1.3076701842335866E-2</v>
      </c>
      <c r="F87" s="35">
        <f>+(F86-'Producción Laminados 2014'!F86)/'Producción Laminados 2014'!F86</f>
        <v>-4.4325574053859979E-2</v>
      </c>
      <c r="G87" s="35">
        <f>+(G86-'Producción Laminados 2014'!G86)/'Producción Laminados 2014'!G86</f>
        <v>-6.316790708219662E-2</v>
      </c>
      <c r="H87" s="35">
        <f>+(H86-'Producción Laminados 2014'!H86)/'Producción Laminados 2014'!H86</f>
        <v>-8.3999107554804706E-2</v>
      </c>
      <c r="I87" s="35">
        <f>+(I86-'Producción Laminados 2014'!I86)/'Producción Laminados 2014'!I86</f>
        <v>-4.293394830707855E-2</v>
      </c>
      <c r="J87" s="35">
        <f>+(J86-'Producción Laminados 2014'!J86)/'Producción Laminados 2014'!J86</f>
        <v>-4.1561309671152714E-2</v>
      </c>
      <c r="K87" s="35">
        <f>+(K86-'Producción Laminados 2014'!K86)/'Producción Laminados 2014'!K86</f>
        <v>-3.6612033487570167E-2</v>
      </c>
      <c r="L87" s="35">
        <f>+(L86-'Producción Laminados 2014'!L86)/'Producción Laminados 2014'!L86</f>
        <v>-9.7343132346049327E-2</v>
      </c>
      <c r="M87" s="35">
        <f>+(M86-'Producción Laminados 2014'!M86)/'Producción Laminados 2014'!M86</f>
        <v>-5.5609232511155494E-2</v>
      </c>
      <c r="N87" s="35">
        <f>+(N86-'Producción Laminados 2014'!N86)/'Producción Laminados 2014'!N86</f>
        <v>-5.7354351846737643E-2</v>
      </c>
      <c r="O87" s="35">
        <f>+(O86-'Producción Laminados 2014'!O86)/'Producción Laminados 2014'!O86</f>
        <v>-0.10224600420291297</v>
      </c>
      <c r="P87" s="35">
        <f>+(P86-'Producción Laminados 2014'!P86)/'Producción Laminados 2014'!P86</f>
        <v>-5.1902361504233732E-2</v>
      </c>
      <c r="Q87" s="6"/>
    </row>
    <row r="88" spans="2:20" ht="13.5" thickTop="1">
      <c r="B88" s="28"/>
    </row>
    <row r="89" spans="2:20">
      <c r="B89" s="25" t="s">
        <v>19</v>
      </c>
      <c r="C89" s="25" t="s">
        <v>19</v>
      </c>
    </row>
    <row r="90" spans="2:20">
      <c r="B90" s="26" t="s">
        <v>12</v>
      </c>
      <c r="C90" s="26" t="s">
        <v>12</v>
      </c>
    </row>
    <row r="91" spans="2:20">
      <c r="B91" s="2" t="s">
        <v>18</v>
      </c>
      <c r="J91" s="7"/>
    </row>
    <row r="93" spans="2:20">
      <c r="I93" s="7">
        <f>D83+E83+F83+G83+H83</f>
        <v>11213.292508607998</v>
      </c>
    </row>
    <row r="94" spans="2:20">
      <c r="I94" s="7">
        <f>D84+E84+F84+G84+H84</f>
        <v>11051.855</v>
      </c>
    </row>
    <row r="95" spans="2:20">
      <c r="I95" s="7">
        <f>D85+E85+F85+G85+H85</f>
        <v>428.928</v>
      </c>
    </row>
    <row r="96" spans="2:20">
      <c r="I96" s="7">
        <f>D86+E86+F86+G86+H86</f>
        <v>22694.075508607999</v>
      </c>
    </row>
    <row r="97" spans="9:9">
      <c r="I97" s="7"/>
    </row>
  </sheetData>
  <mergeCells count="17">
    <mergeCell ref="B63:B67"/>
    <mergeCell ref="B68:B72"/>
    <mergeCell ref="B73:B77"/>
    <mergeCell ref="B78:B82"/>
    <mergeCell ref="B83:B87"/>
    <mergeCell ref="B58:B6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</mergeCells>
  <hyperlinks>
    <hyperlink ref="P1" location="Índice!A1" display="Í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2"/>
  <sheetViews>
    <sheetView zoomScale="90" zoomScaleNormal="90" zoomScaleSheetLayoutView="90" workbookViewId="0">
      <selection activeCell="M7" sqref="M7"/>
    </sheetView>
  </sheetViews>
  <sheetFormatPr defaultColWidth="11.42578125" defaultRowHeight="12.75"/>
  <cols>
    <col min="1" max="1" width="2.7109375" style="2" customWidth="1"/>
    <col min="2" max="2" width="32.5703125" style="2" customWidth="1"/>
    <col min="3" max="8" width="13.7109375" style="2" customWidth="1"/>
    <col min="9" max="9" width="12.7109375" style="2" bestFit="1" customWidth="1"/>
    <col min="10" max="10" width="14.85546875" style="2" bestFit="1" customWidth="1"/>
    <col min="11" max="16384" width="11.42578125" style="2"/>
  </cols>
  <sheetData>
    <row r="1" spans="2:15" s="8" customFormat="1" ht="38.25" customHeight="1">
      <c r="B1" s="22" t="s">
        <v>200</v>
      </c>
      <c r="C1" s="38"/>
      <c r="D1" s="38"/>
      <c r="E1" s="38"/>
      <c r="F1" s="38"/>
      <c r="G1" s="38"/>
      <c r="H1" s="38"/>
      <c r="I1" s="38"/>
      <c r="J1" s="87" t="s">
        <v>111</v>
      </c>
    </row>
    <row r="2" spans="2:15" s="8" customFormat="1" ht="18" customHeight="1">
      <c r="B2" s="22"/>
      <c r="C2" s="38"/>
      <c r="D2" s="38"/>
      <c r="E2" s="38"/>
      <c r="F2" s="38"/>
      <c r="G2" s="38"/>
      <c r="H2" s="38"/>
      <c r="I2" s="38"/>
      <c r="J2" s="87"/>
    </row>
    <row r="3" spans="2:15" s="8" customFormat="1" ht="30" customHeight="1" thickBot="1">
      <c r="B3" s="22"/>
      <c r="C3" s="38"/>
      <c r="D3" s="38"/>
      <c r="E3" s="38"/>
      <c r="F3" s="38"/>
      <c r="G3" s="38"/>
      <c r="H3" s="38"/>
      <c r="I3" s="38"/>
      <c r="J3" s="87"/>
    </row>
    <row r="4" spans="2:15" ht="20.100000000000001" customHeight="1" thickTop="1">
      <c r="B4" s="254" t="s">
        <v>55</v>
      </c>
      <c r="C4" s="253" t="s">
        <v>50</v>
      </c>
      <c r="D4" s="253"/>
      <c r="E4" s="253" t="s">
        <v>51</v>
      </c>
      <c r="F4" s="253"/>
      <c r="G4" s="253" t="s">
        <v>52</v>
      </c>
      <c r="H4" s="253"/>
      <c r="I4" s="253" t="s">
        <v>53</v>
      </c>
      <c r="J4" s="253"/>
    </row>
    <row r="5" spans="2:15" ht="20.100000000000001" customHeight="1">
      <c r="B5" s="255"/>
      <c r="C5" s="39">
        <v>2018</v>
      </c>
      <c r="D5" s="39">
        <v>2019</v>
      </c>
      <c r="E5" s="39">
        <v>2018</v>
      </c>
      <c r="F5" s="39">
        <v>2019</v>
      </c>
      <c r="G5" s="39">
        <v>2018</v>
      </c>
      <c r="H5" s="39">
        <v>2019</v>
      </c>
      <c r="I5" s="39">
        <v>2018</v>
      </c>
      <c r="J5" s="39">
        <v>2019</v>
      </c>
    </row>
    <row r="6" spans="2:15" ht="21.95" customHeight="1">
      <c r="B6" s="27" t="s">
        <v>46</v>
      </c>
      <c r="C6" s="41">
        <v>-2.2999999999999998</v>
      </c>
      <c r="D6" s="41">
        <v>-1.1000000000000001</v>
      </c>
      <c r="E6" s="41">
        <v>-3.3</v>
      </c>
      <c r="F6" s="41">
        <v>-5.7</v>
      </c>
      <c r="G6" s="41">
        <v>-3.5</v>
      </c>
      <c r="H6" s="41">
        <v>-0.6</v>
      </c>
      <c r="I6" s="41">
        <v>47.1</v>
      </c>
      <c r="J6" s="41">
        <v>27.7</v>
      </c>
    </row>
    <row r="7" spans="2:15" ht="21.95" customHeight="1">
      <c r="B7" s="27" t="s">
        <v>56</v>
      </c>
      <c r="C7" s="41">
        <v>1.3</v>
      </c>
      <c r="D7" s="41">
        <v>2.4</v>
      </c>
      <c r="E7" s="41">
        <v>3.9</v>
      </c>
      <c r="F7" s="41">
        <v>4.9000000000000004</v>
      </c>
      <c r="G7" s="41">
        <v>1.6</v>
      </c>
      <c r="H7" s="41">
        <v>3.3</v>
      </c>
      <c r="I7" s="41">
        <v>3.7</v>
      </c>
      <c r="J7" s="41">
        <v>4.0999999999999996</v>
      </c>
      <c r="L7" s="10"/>
      <c r="M7" s="10"/>
      <c r="N7" s="10"/>
      <c r="O7" s="10"/>
    </row>
    <row r="8" spans="2:15" ht="21.95" customHeight="1">
      <c r="B8" s="27" t="s">
        <v>1</v>
      </c>
      <c r="C8" s="41">
        <v>4</v>
      </c>
      <c r="D8" s="41">
        <v>3.4</v>
      </c>
      <c r="E8" s="41">
        <v>5.9</v>
      </c>
      <c r="F8" s="41">
        <v>5.3</v>
      </c>
      <c r="G8" s="41">
        <v>3.2</v>
      </c>
      <c r="H8" s="41">
        <v>2.9</v>
      </c>
      <c r="I8" s="41">
        <v>2.6</v>
      </c>
      <c r="J8" s="41">
        <v>3</v>
      </c>
    </row>
    <row r="9" spans="2:15" ht="21.95" customHeight="1">
      <c r="B9" s="27" t="s">
        <v>2</v>
      </c>
      <c r="C9" s="41">
        <v>2.6</v>
      </c>
      <c r="D9" s="41">
        <v>3</v>
      </c>
      <c r="E9" s="41">
        <v>1.4</v>
      </c>
      <c r="F9" s="41">
        <v>4.4000000000000004</v>
      </c>
      <c r="G9" s="41">
        <v>2.1</v>
      </c>
      <c r="H9" s="41">
        <v>3</v>
      </c>
      <c r="I9" s="41">
        <v>3.2</v>
      </c>
      <c r="J9" s="41">
        <v>3.6</v>
      </c>
      <c r="K9" s="11"/>
      <c r="L9" s="12"/>
    </row>
    <row r="10" spans="2:15" ht="21.95" customHeight="1">
      <c r="B10" s="27" t="s">
        <v>57</v>
      </c>
      <c r="C10" s="41">
        <v>2.1</v>
      </c>
      <c r="D10" s="41">
        <v>1.8</v>
      </c>
      <c r="E10" s="41">
        <v>1.5</v>
      </c>
      <c r="F10" s="41">
        <v>1.1000000000000001</v>
      </c>
      <c r="G10" s="41">
        <v>1.5</v>
      </c>
      <c r="H10" s="41">
        <v>1.7</v>
      </c>
      <c r="I10" s="41">
        <v>4.8</v>
      </c>
      <c r="J10" s="41">
        <v>4</v>
      </c>
      <c r="K10" s="11"/>
    </row>
    <row r="11" spans="2:15" ht="21.95" customHeight="1">
      <c r="B11" s="27" t="s">
        <v>58</v>
      </c>
      <c r="C11" s="41">
        <v>3.8</v>
      </c>
      <c r="D11" s="41">
        <v>3.8</v>
      </c>
      <c r="E11" s="41">
        <v>5.3</v>
      </c>
      <c r="F11" s="41">
        <v>4.4000000000000004</v>
      </c>
      <c r="G11" s="41">
        <v>4.5999999999999996</v>
      </c>
      <c r="H11" s="41">
        <v>3.1</v>
      </c>
      <c r="I11" s="41">
        <v>2.2000000000000002</v>
      </c>
      <c r="J11" s="41">
        <v>2.5</v>
      </c>
      <c r="K11" s="11"/>
    </row>
    <row r="12" spans="2:15" ht="21.95" customHeight="1">
      <c r="B12" s="27" t="s">
        <v>47</v>
      </c>
      <c r="C12" s="41">
        <v>-16.100000000000001</v>
      </c>
      <c r="D12" s="41">
        <v>-12.6</v>
      </c>
      <c r="E12" s="41">
        <v>-20.3</v>
      </c>
      <c r="F12" s="41">
        <v>-19.8</v>
      </c>
      <c r="G12" s="41">
        <v>-22.2</v>
      </c>
      <c r="H12" s="41">
        <v>-19.3</v>
      </c>
      <c r="I12" s="232">
        <v>705148</v>
      </c>
      <c r="J12" s="232">
        <v>124884660</v>
      </c>
      <c r="K12" s="11"/>
    </row>
    <row r="14" spans="2:15">
      <c r="B14" s="2" t="s">
        <v>48</v>
      </c>
    </row>
    <row r="15" spans="2:15">
      <c r="B15" s="36" t="s">
        <v>66</v>
      </c>
      <c r="E15" s="12"/>
      <c r="F15" s="13"/>
      <c r="G15" s="13"/>
      <c r="H15" s="13"/>
      <c r="I15" s="13"/>
      <c r="J15" s="14"/>
    </row>
    <row r="16" spans="2:15">
      <c r="B16" s="2" t="s">
        <v>49</v>
      </c>
      <c r="C16" s="15"/>
      <c r="D16" s="15"/>
      <c r="E16" s="15"/>
      <c r="F16" s="15"/>
      <c r="G16" s="15"/>
      <c r="H16" s="15"/>
      <c r="I16" s="15"/>
    </row>
    <row r="17" spans="1:9" ht="15.75">
      <c r="C17" s="16"/>
      <c r="D17" s="16"/>
      <c r="E17" s="16"/>
      <c r="F17" s="16"/>
      <c r="G17" s="16"/>
      <c r="H17" s="16"/>
      <c r="I17" s="16"/>
    </row>
    <row r="19" spans="1:9" ht="15.75">
      <c r="A19" s="17"/>
      <c r="B19" s="17"/>
      <c r="C19" s="18"/>
      <c r="D19" s="16"/>
    </row>
    <row r="20" spans="1:9" ht="15.75">
      <c r="A20" s="17"/>
      <c r="B20" s="17"/>
      <c r="C20" s="19"/>
      <c r="D20" s="16"/>
    </row>
    <row r="21" spans="1:9" ht="15.75">
      <c r="A21" s="17"/>
      <c r="B21" s="17"/>
      <c r="C21" s="19"/>
      <c r="D21" s="16"/>
    </row>
    <row r="22" spans="1:9" ht="15.75">
      <c r="A22" s="17"/>
      <c r="B22" s="17"/>
      <c r="C22" s="19"/>
      <c r="D22" s="16"/>
    </row>
  </sheetData>
  <mergeCells count="5">
    <mergeCell ref="C4:D4"/>
    <mergeCell ref="E4:F4"/>
    <mergeCell ref="I4:J4"/>
    <mergeCell ref="B4:B5"/>
    <mergeCell ref="G4:H4"/>
  </mergeCells>
  <hyperlinks>
    <hyperlink ref="J1" location="Índice!A1" display="Índice" xr:uid="{00000000-0004-0000-0100-000000000000}"/>
  </hyperlinks>
  <pageMargins left="0.7" right="0.7" top="0.75" bottom="0.75" header="0.3" footer="0.3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R92"/>
  <sheetViews>
    <sheetView zoomScale="70" zoomScaleNormal="70" zoomScaleSheetLayoutView="75" workbookViewId="0">
      <pane xSplit="3" ySplit="2" topLeftCell="D57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18" s="8" customFormat="1" ht="38.25" customHeight="1" thickBot="1">
      <c r="B1" s="22" t="s">
        <v>141</v>
      </c>
      <c r="O1" s="9"/>
      <c r="P1" s="87" t="s">
        <v>111</v>
      </c>
    </row>
    <row r="2" spans="2:18" ht="30" customHeight="1" thickTop="1">
      <c r="B2" s="33" t="s">
        <v>36</v>
      </c>
      <c r="C2" s="21" t="s">
        <v>23</v>
      </c>
      <c r="D2" s="43" t="s">
        <v>27</v>
      </c>
      <c r="E2" s="43" t="s">
        <v>28</v>
      </c>
      <c r="F2" s="43" t="s">
        <v>26</v>
      </c>
      <c r="G2" s="43" t="s">
        <v>22</v>
      </c>
      <c r="H2" s="43" t="s">
        <v>29</v>
      </c>
      <c r="I2" s="43" t="s">
        <v>30</v>
      </c>
      <c r="J2" s="43" t="s">
        <v>31</v>
      </c>
      <c r="K2" s="43" t="s">
        <v>32</v>
      </c>
      <c r="L2" s="43" t="s">
        <v>33</v>
      </c>
      <c r="M2" s="43" t="s">
        <v>24</v>
      </c>
      <c r="N2" s="43" t="s">
        <v>34</v>
      </c>
      <c r="O2" s="43" t="s">
        <v>35</v>
      </c>
      <c r="P2" s="43" t="s">
        <v>25</v>
      </c>
    </row>
    <row r="3" spans="2:18" ht="18" customHeight="1" thickBot="1">
      <c r="B3" s="259" t="s">
        <v>0</v>
      </c>
      <c r="C3" s="29" t="s">
        <v>65</v>
      </c>
      <c r="D3" s="34">
        <v>110.136</v>
      </c>
      <c r="E3" s="34">
        <v>131.72399999999999</v>
      </c>
      <c r="F3" s="34">
        <v>169.70099999999999</v>
      </c>
      <c r="G3" s="34">
        <v>162.666</v>
      </c>
      <c r="H3" s="34">
        <v>162.245</v>
      </c>
      <c r="I3" s="34">
        <v>151.43799999999999</v>
      </c>
      <c r="J3" s="34">
        <v>123.839</v>
      </c>
      <c r="K3" s="34">
        <v>138.58199999999999</v>
      </c>
      <c r="L3" s="34">
        <v>140.63499999999999</v>
      </c>
      <c r="M3" s="34">
        <v>142.637</v>
      </c>
      <c r="N3" s="34">
        <v>157.322</v>
      </c>
      <c r="O3" s="34">
        <v>134.44800000000001</v>
      </c>
      <c r="P3" s="34">
        <v>1725.3730000000003</v>
      </c>
    </row>
    <row r="4" spans="2:18" ht="18" customHeight="1" thickTop="1" thickBot="1">
      <c r="B4" s="260"/>
      <c r="C4" s="29" t="s">
        <v>59</v>
      </c>
      <c r="D4" s="34">
        <v>224.01499999999999</v>
      </c>
      <c r="E4" s="34">
        <v>197.917</v>
      </c>
      <c r="F4" s="34">
        <v>219.596</v>
      </c>
      <c r="G4" s="34">
        <v>219.602</v>
      </c>
      <c r="H4" s="34">
        <v>213.57300000000001</v>
      </c>
      <c r="I4" s="34">
        <v>226.886</v>
      </c>
      <c r="J4" s="34">
        <v>232.61500000000001</v>
      </c>
      <c r="K4" s="34">
        <v>185.20699999999999</v>
      </c>
      <c r="L4" s="34">
        <v>193.26599999999999</v>
      </c>
      <c r="M4" s="34">
        <v>200.75299999999999</v>
      </c>
      <c r="N4" s="34">
        <v>207.673</v>
      </c>
      <c r="O4" s="34">
        <v>224.51599999999999</v>
      </c>
      <c r="P4" s="34">
        <v>2545.6190000000001</v>
      </c>
    </row>
    <row r="5" spans="2:18" ht="18" customHeight="1" thickTop="1" thickBot="1">
      <c r="B5" s="260"/>
      <c r="C5" s="29" t="s">
        <v>60</v>
      </c>
      <c r="D5" s="34">
        <v>55.561999999999998</v>
      </c>
      <c r="E5" s="34">
        <v>31.515000000000001</v>
      </c>
      <c r="F5" s="34">
        <v>63.661000000000001</v>
      </c>
      <c r="G5" s="34">
        <v>65.209000000000003</v>
      </c>
      <c r="H5" s="34">
        <v>59.887999999999998</v>
      </c>
      <c r="I5" s="34">
        <v>72.105999999999995</v>
      </c>
      <c r="J5" s="34">
        <v>65.91</v>
      </c>
      <c r="K5" s="34">
        <v>68.686000000000007</v>
      </c>
      <c r="L5" s="34">
        <v>71.634</v>
      </c>
      <c r="M5" s="34">
        <v>73.53</v>
      </c>
      <c r="N5" s="34">
        <v>59.985999999999997</v>
      </c>
      <c r="O5" s="34">
        <v>62.305999999999997</v>
      </c>
      <c r="P5" s="34">
        <v>749.99300000000005</v>
      </c>
    </row>
    <row r="6" spans="2:18" ht="18" customHeight="1" thickTop="1" thickBot="1">
      <c r="B6" s="260"/>
      <c r="C6" s="29" t="s">
        <v>139</v>
      </c>
      <c r="D6" s="34">
        <v>389.71299999999997</v>
      </c>
      <c r="E6" s="34">
        <v>361.15599999999995</v>
      </c>
      <c r="F6" s="34">
        <v>452.95800000000003</v>
      </c>
      <c r="G6" s="34">
        <v>447.47700000000003</v>
      </c>
      <c r="H6" s="34">
        <v>435.70599999999996</v>
      </c>
      <c r="I6" s="34">
        <v>450.42999999999995</v>
      </c>
      <c r="J6" s="34">
        <v>422.36400000000003</v>
      </c>
      <c r="K6" s="34">
        <v>392.47500000000002</v>
      </c>
      <c r="L6" s="34">
        <v>405.53499999999997</v>
      </c>
      <c r="M6" s="34">
        <v>416.91999999999996</v>
      </c>
      <c r="N6" s="34">
        <v>424.98099999999999</v>
      </c>
      <c r="O6" s="34">
        <v>421.27</v>
      </c>
      <c r="P6" s="34">
        <v>5020.9849999999988</v>
      </c>
      <c r="R6" s="48"/>
    </row>
    <row r="7" spans="2:18" ht="18" customHeight="1" thickTop="1" thickBot="1">
      <c r="B7" s="260"/>
      <c r="C7" s="32" t="s">
        <v>40</v>
      </c>
      <c r="D7" s="35">
        <v>2.1049101470083327E-2</v>
      </c>
      <c r="E7" s="35">
        <v>2.0517385100100222E-2</v>
      </c>
      <c r="F7" s="35">
        <v>-8.4041707804559627E-3</v>
      </c>
      <c r="G7" s="35">
        <v>-2.2423160695677149E-2</v>
      </c>
      <c r="H7" s="35">
        <v>-3.1493262557960811E-2</v>
      </c>
      <c r="I7" s="35">
        <v>3.0178279414959906E-2</v>
      </c>
      <c r="J7" s="35">
        <v>0.20124571607343472</v>
      </c>
      <c r="K7" s="35">
        <v>-0.12933474719150972</v>
      </c>
      <c r="L7" s="35">
        <v>-0.13427874885790164</v>
      </c>
      <c r="M7" s="35">
        <v>-0.1515531388382392</v>
      </c>
      <c r="N7" s="35">
        <v>-2.6483133352575419E-2</v>
      </c>
      <c r="O7" s="35">
        <v>3.8723755748153774E-2</v>
      </c>
      <c r="P7" s="35">
        <v>-2.3446685300524239E-2</v>
      </c>
    </row>
    <row r="8" spans="2:18" ht="18" customHeight="1" thickTop="1" thickBot="1">
      <c r="B8" s="260" t="s">
        <v>42</v>
      </c>
      <c r="C8" s="31" t="s">
        <v>65</v>
      </c>
      <c r="D8" s="34">
        <v>886</v>
      </c>
      <c r="E8" s="34">
        <v>897</v>
      </c>
      <c r="F8" s="34">
        <v>1003</v>
      </c>
      <c r="G8" s="34">
        <v>941</v>
      </c>
      <c r="H8" s="34">
        <v>962</v>
      </c>
      <c r="I8" s="34">
        <v>839</v>
      </c>
      <c r="J8" s="34">
        <v>891</v>
      </c>
      <c r="K8" s="34">
        <v>907</v>
      </c>
      <c r="L8" s="34">
        <v>915</v>
      </c>
      <c r="M8" s="34">
        <v>948</v>
      </c>
      <c r="N8" s="34">
        <v>884</v>
      </c>
      <c r="O8" s="34">
        <v>615</v>
      </c>
      <c r="P8" s="34">
        <f>+SUM(D8:O8)</f>
        <v>10688</v>
      </c>
    </row>
    <row r="9" spans="2:18" ht="18" customHeight="1" thickTop="1" thickBot="1">
      <c r="B9" s="260"/>
      <c r="C9" s="29" t="s">
        <v>59</v>
      </c>
      <c r="D9" s="34">
        <v>1141</v>
      </c>
      <c r="E9" s="34">
        <v>1101</v>
      </c>
      <c r="F9" s="34">
        <v>1276</v>
      </c>
      <c r="G9" s="34">
        <v>1269</v>
      </c>
      <c r="H9" s="34">
        <v>1125</v>
      </c>
      <c r="I9" s="34">
        <v>1134</v>
      </c>
      <c r="J9" s="34">
        <v>1209</v>
      </c>
      <c r="K9" s="34">
        <v>1201</v>
      </c>
      <c r="L9" s="34">
        <v>1252</v>
      </c>
      <c r="M9" s="34">
        <v>1248</v>
      </c>
      <c r="N9" s="34">
        <v>1158</v>
      </c>
      <c r="O9" s="34">
        <v>1115</v>
      </c>
      <c r="P9" s="34">
        <f>+SUM(D9:O9)</f>
        <v>14229</v>
      </c>
    </row>
    <row r="10" spans="2:18" ht="18" customHeight="1" thickTop="1" thickBot="1">
      <c r="B10" s="260"/>
      <c r="C10" s="29" t="s">
        <v>60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f>+SUM(D10:O10)</f>
        <v>0</v>
      </c>
    </row>
    <row r="11" spans="2:18" ht="18" customHeight="1" thickTop="1" thickBot="1">
      <c r="B11" s="260"/>
      <c r="C11" s="29" t="s">
        <v>139</v>
      </c>
      <c r="D11" s="34">
        <f>+D8+D9</f>
        <v>2027</v>
      </c>
      <c r="E11" s="34">
        <f t="shared" ref="E11:P11" si="0">+E8+E9</f>
        <v>1998</v>
      </c>
      <c r="F11" s="34">
        <f t="shared" si="0"/>
        <v>2279</v>
      </c>
      <c r="G11" s="34">
        <f t="shared" si="0"/>
        <v>2210</v>
      </c>
      <c r="H11" s="34">
        <f t="shared" si="0"/>
        <v>2087</v>
      </c>
      <c r="I11" s="34">
        <f t="shared" si="0"/>
        <v>1973</v>
      </c>
      <c r="J11" s="34">
        <f t="shared" si="0"/>
        <v>2100</v>
      </c>
      <c r="K11" s="34">
        <f t="shared" si="0"/>
        <v>2108</v>
      </c>
      <c r="L11" s="34">
        <f t="shared" si="0"/>
        <v>2167</v>
      </c>
      <c r="M11" s="34">
        <f t="shared" si="0"/>
        <v>2196</v>
      </c>
      <c r="N11" s="34">
        <f t="shared" si="0"/>
        <v>2042</v>
      </c>
      <c r="O11" s="34">
        <f t="shared" si="0"/>
        <v>1730</v>
      </c>
      <c r="P11" s="34">
        <f t="shared" si="0"/>
        <v>24917</v>
      </c>
      <c r="R11" s="47"/>
    </row>
    <row r="12" spans="2:18" ht="18" customHeight="1" thickTop="1" thickBot="1">
      <c r="B12" s="260"/>
      <c r="C12" s="32" t="s">
        <v>40</v>
      </c>
      <c r="D12" s="35">
        <v>3.4280117531831538E-3</v>
      </c>
      <c r="E12" s="35">
        <v>9.6839959225280322E-3</v>
      </c>
      <c r="F12" s="35">
        <v>2.3066485753052916E-2</v>
      </c>
      <c r="G12" s="35">
        <v>-8.0826223619218686E-3</v>
      </c>
      <c r="H12" s="35">
        <v>-0.11492281303602059</v>
      </c>
      <c r="I12" s="35">
        <v>-0.13586719091306249</v>
      </c>
      <c r="J12" s="35">
        <v>-6.4443442992338895E-2</v>
      </c>
      <c r="K12" s="35">
        <v>-8.6026200873362449E-2</v>
      </c>
      <c r="L12" s="35">
        <v>-1.6498625114573784E-2</v>
      </c>
      <c r="M12" s="35">
        <v>-5.3485313459009205E-2</v>
      </c>
      <c r="N12" s="35">
        <v>-6.6878980891719744E-2</v>
      </c>
      <c r="O12" s="35">
        <v>-0.12845849802371542</v>
      </c>
      <c r="P12" s="35">
        <v>-5.4271241954526414E-2</v>
      </c>
    </row>
    <row r="13" spans="2:18" ht="18" customHeight="1" thickTop="1" thickBot="1">
      <c r="B13" s="260" t="s">
        <v>1</v>
      </c>
      <c r="C13" s="31" t="s">
        <v>65</v>
      </c>
      <c r="D13" s="34">
        <v>89.384</v>
      </c>
      <c r="E13" s="34">
        <v>67.004999999999995</v>
      </c>
      <c r="F13" s="34">
        <v>99.242999999999995</v>
      </c>
      <c r="G13" s="34">
        <v>76.332999999999998</v>
      </c>
      <c r="H13" s="34">
        <v>101.58499999999999</v>
      </c>
      <c r="I13" s="34">
        <v>71.09</v>
      </c>
      <c r="J13" s="34">
        <v>80.988</v>
      </c>
      <c r="K13" s="34">
        <v>94.838999999999999</v>
      </c>
      <c r="L13" s="34">
        <v>55.168999999999997</v>
      </c>
      <c r="M13" s="34">
        <v>85.611999999999995</v>
      </c>
      <c r="N13" s="34">
        <v>99.409000000000006</v>
      </c>
      <c r="O13" s="34">
        <v>96.093999999999994</v>
      </c>
      <c r="P13" s="34">
        <v>1016.7509999999997</v>
      </c>
      <c r="R13" s="36"/>
    </row>
    <row r="14" spans="2:18" ht="18" customHeight="1" thickTop="1" thickBot="1">
      <c r="B14" s="260"/>
      <c r="C14" s="29" t="s">
        <v>59</v>
      </c>
      <c r="D14" s="34">
        <v>2.1999999999999999E-2</v>
      </c>
      <c r="E14" s="34">
        <v>0</v>
      </c>
      <c r="F14" s="34">
        <v>0.112</v>
      </c>
      <c r="G14" s="34">
        <v>0.11799999999999999</v>
      </c>
      <c r="H14" s="34">
        <v>0</v>
      </c>
      <c r="I14" s="34">
        <v>3.0000000000000001E-3</v>
      </c>
      <c r="J14" s="34">
        <v>0</v>
      </c>
      <c r="K14" s="34">
        <v>3.7999999999999999E-2</v>
      </c>
      <c r="L14" s="34">
        <v>0</v>
      </c>
      <c r="M14" s="34">
        <v>0</v>
      </c>
      <c r="N14" s="34">
        <v>0</v>
      </c>
      <c r="O14" s="34">
        <v>0</v>
      </c>
      <c r="P14" s="34">
        <v>0.29299999999999998</v>
      </c>
    </row>
    <row r="15" spans="2:18" ht="18" customHeight="1" thickTop="1" thickBot="1">
      <c r="B15" s="260"/>
      <c r="C15" s="29" t="s">
        <v>60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spans="2:18" ht="18" customHeight="1" thickTop="1" thickBot="1">
      <c r="B16" s="260"/>
      <c r="C16" s="29" t="s">
        <v>139</v>
      </c>
      <c r="D16" s="34">
        <v>89.406000000000006</v>
      </c>
      <c r="E16" s="34">
        <v>67.004999999999995</v>
      </c>
      <c r="F16" s="34">
        <v>99.35499999999999</v>
      </c>
      <c r="G16" s="34">
        <v>76.450999999999993</v>
      </c>
      <c r="H16" s="34">
        <v>101.58499999999999</v>
      </c>
      <c r="I16" s="34">
        <v>71.093000000000004</v>
      </c>
      <c r="J16" s="34">
        <v>80.988</v>
      </c>
      <c r="K16" s="34">
        <v>94.876999999999995</v>
      </c>
      <c r="L16" s="34">
        <v>55.168999999999997</v>
      </c>
      <c r="M16" s="34">
        <v>85.611999999999995</v>
      </c>
      <c r="N16" s="34">
        <v>99.409000000000006</v>
      </c>
      <c r="O16" s="34">
        <v>96.093999999999994</v>
      </c>
      <c r="P16" s="34">
        <v>1017.0439999999999</v>
      </c>
    </row>
    <row r="17" spans="2:16" ht="18" customHeight="1" thickTop="1" thickBot="1">
      <c r="B17" s="260"/>
      <c r="C17" s="32" t="s">
        <v>40</v>
      </c>
      <c r="D17" s="35">
        <v>-0.21251783606672889</v>
      </c>
      <c r="E17" s="35">
        <v>-0.40268504238836844</v>
      </c>
      <c r="F17" s="35">
        <v>-0.15565432434499582</v>
      </c>
      <c r="G17" s="35">
        <v>-0.30406721648733781</v>
      </c>
      <c r="H17" s="35">
        <v>-8.8122295829518388E-2</v>
      </c>
      <c r="I17" s="35">
        <v>-0.32764311451998823</v>
      </c>
      <c r="J17" s="35">
        <v>-0.30763509527839766</v>
      </c>
      <c r="K17" s="35">
        <v>-0.20086082005323266</v>
      </c>
      <c r="L17" s="35">
        <v>-0.49296460705653128</v>
      </c>
      <c r="M17" s="35">
        <v>-0.23354730122919637</v>
      </c>
      <c r="N17" s="35">
        <v>0.1841594301301982</v>
      </c>
      <c r="O17" s="35">
        <v>0.22741090816196199</v>
      </c>
      <c r="P17" s="35">
        <v>-0.21087012353189019</v>
      </c>
    </row>
    <row r="18" spans="2:16" ht="18" customHeight="1" thickTop="1" thickBot="1">
      <c r="B18" s="260" t="s">
        <v>2</v>
      </c>
      <c r="C18" s="31" t="s">
        <v>65</v>
      </c>
      <c r="D18" s="34">
        <v>109.938</v>
      </c>
      <c r="E18" s="34">
        <v>115.376</v>
      </c>
      <c r="F18" s="34">
        <v>123.992</v>
      </c>
      <c r="G18" s="34">
        <v>119.599</v>
      </c>
      <c r="H18" s="34">
        <v>126.301</v>
      </c>
      <c r="I18" s="34">
        <v>117.4</v>
      </c>
      <c r="J18" s="34">
        <v>126.67700000000001</v>
      </c>
      <c r="K18" s="34">
        <v>100.996</v>
      </c>
      <c r="L18" s="34">
        <v>111.40600000000001</v>
      </c>
      <c r="M18" s="34">
        <v>119.51600000000001</v>
      </c>
      <c r="N18" s="34">
        <v>118.446</v>
      </c>
      <c r="O18" s="34">
        <v>104.73099999999999</v>
      </c>
      <c r="P18" s="34">
        <v>1394.3779999999999</v>
      </c>
    </row>
    <row r="19" spans="2:16" ht="18" customHeight="1" thickTop="1" thickBot="1">
      <c r="B19" s="260"/>
      <c r="C19" s="29" t="s">
        <v>59</v>
      </c>
      <c r="D19" s="34">
        <v>29.344000000000001</v>
      </c>
      <c r="E19" s="34">
        <v>33.244999999999997</v>
      </c>
      <c r="F19" s="34">
        <v>37.848999999999997</v>
      </c>
      <c r="G19" s="34">
        <v>34.404000000000003</v>
      </c>
      <c r="H19" s="34">
        <v>30.789000000000001</v>
      </c>
      <c r="I19" s="34">
        <v>32.106000000000002</v>
      </c>
      <c r="J19" s="34">
        <v>29.483000000000001</v>
      </c>
      <c r="K19" s="34">
        <v>37.052999999999997</v>
      </c>
      <c r="L19" s="34">
        <v>38.524999999999999</v>
      </c>
      <c r="M19" s="34">
        <v>37.435000000000002</v>
      </c>
      <c r="N19" s="34">
        <v>35.110999999999997</v>
      </c>
      <c r="O19" s="34">
        <v>34.299999999999997</v>
      </c>
      <c r="P19" s="34">
        <v>409.64399999999995</v>
      </c>
    </row>
    <row r="20" spans="2:16" ht="18" customHeight="1" thickTop="1" thickBot="1">
      <c r="B20" s="260"/>
      <c r="C20" s="29" t="s">
        <v>60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</row>
    <row r="21" spans="2:16" ht="18" customHeight="1" thickTop="1" thickBot="1">
      <c r="B21" s="260"/>
      <c r="C21" s="29" t="s">
        <v>139</v>
      </c>
      <c r="D21" s="34">
        <v>139.28200000000001</v>
      </c>
      <c r="E21" s="34">
        <v>148.62100000000001</v>
      </c>
      <c r="F21" s="34">
        <v>161.84100000000001</v>
      </c>
      <c r="G21" s="34">
        <v>154.00300000000001</v>
      </c>
      <c r="H21" s="34">
        <v>157.09</v>
      </c>
      <c r="I21" s="34">
        <v>149.506</v>
      </c>
      <c r="J21" s="34">
        <v>156.16</v>
      </c>
      <c r="K21" s="34">
        <v>138.04899999999998</v>
      </c>
      <c r="L21" s="34">
        <v>149.93100000000001</v>
      </c>
      <c r="M21" s="34">
        <v>156.95100000000002</v>
      </c>
      <c r="N21" s="34">
        <v>153.55699999999999</v>
      </c>
      <c r="O21" s="34">
        <v>139.03100000000001</v>
      </c>
      <c r="P21" s="34">
        <v>1804.0220000000002</v>
      </c>
    </row>
    <row r="22" spans="2:16" ht="18" customHeight="1" thickTop="1" thickBot="1">
      <c r="B22" s="260"/>
      <c r="C22" s="32" t="s">
        <v>40</v>
      </c>
      <c r="D22" s="35">
        <v>0.18873753925986619</v>
      </c>
      <c r="E22" s="35">
        <v>0.13460672270190654</v>
      </c>
      <c r="F22" s="35">
        <v>0.26414578516528159</v>
      </c>
      <c r="G22" s="35">
        <v>0.18696674245635678</v>
      </c>
      <c r="H22" s="35">
        <v>0.14048206766371418</v>
      </c>
      <c r="I22" s="35">
        <v>8.3785194421086367E-2</v>
      </c>
      <c r="J22" s="35">
        <v>6.7293628770999384E-2</v>
      </c>
      <c r="K22" s="35">
        <v>0.10071999808638364</v>
      </c>
      <c r="L22" s="35">
        <v>-3.2310177705976717E-3</v>
      </c>
      <c r="M22" s="35">
        <v>3.2694661209880266E-2</v>
      </c>
      <c r="N22" s="35">
        <v>6.6407069435704151E-3</v>
      </c>
      <c r="O22" s="35">
        <v>-2.0963607684074164E-2</v>
      </c>
      <c r="P22" s="35">
        <v>9.3150562080984628E-2</v>
      </c>
    </row>
    <row r="23" spans="2:16" s="3" customFormat="1" ht="18" customHeight="1" thickTop="1" thickBot="1">
      <c r="B23" s="260" t="s">
        <v>5</v>
      </c>
      <c r="C23" s="31" t="s">
        <v>65</v>
      </c>
      <c r="D23" s="30">
        <v>29.87</v>
      </c>
      <c r="E23" s="30">
        <v>31.363499999999998</v>
      </c>
      <c r="F23" s="30">
        <v>32.932189999999999</v>
      </c>
      <c r="G23" s="30">
        <v>34.579160000000002</v>
      </c>
      <c r="H23" s="30">
        <v>36.308529999999998</v>
      </c>
      <c r="I23" s="30">
        <v>38.124420000000001</v>
      </c>
      <c r="J23" s="30">
        <v>37.785550000000001</v>
      </c>
      <c r="K23" s="30">
        <v>39.674570000000003</v>
      </c>
      <c r="L23" s="30">
        <v>41.658349999999999</v>
      </c>
      <c r="M23" s="30">
        <v>43.741010000000003</v>
      </c>
      <c r="N23" s="30">
        <v>45.927700000000002</v>
      </c>
      <c r="O23" s="30">
        <v>48.224600000000002</v>
      </c>
      <c r="P23" s="34">
        <v>460.18958000000003</v>
      </c>
    </row>
    <row r="24" spans="2:16" s="3" customFormat="1" ht="18" customHeight="1" thickTop="1" thickBot="1">
      <c r="B24" s="260"/>
      <c r="C24" s="29" t="s">
        <v>59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4">
        <v>0</v>
      </c>
    </row>
    <row r="25" spans="2:16" s="3" customFormat="1" ht="18" customHeight="1" thickTop="1" thickBot="1">
      <c r="B25" s="260"/>
      <c r="C25" s="29" t="s">
        <v>60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4">
        <v>0</v>
      </c>
    </row>
    <row r="26" spans="2:16" s="3" customFormat="1" ht="18" customHeight="1" thickTop="1" thickBot="1">
      <c r="B26" s="260"/>
      <c r="C26" s="29" t="s">
        <v>139</v>
      </c>
      <c r="D26" s="30">
        <v>29.87</v>
      </c>
      <c r="E26" s="30">
        <v>31.363499999999998</v>
      </c>
      <c r="F26" s="30">
        <v>32.932189999999999</v>
      </c>
      <c r="G26" s="30">
        <v>34.579160000000002</v>
      </c>
      <c r="H26" s="30">
        <v>36.308529999999998</v>
      </c>
      <c r="I26" s="30">
        <v>38.124420000000001</v>
      </c>
      <c r="J26" s="30">
        <v>37.785550000000001</v>
      </c>
      <c r="K26" s="30">
        <v>39.674570000000003</v>
      </c>
      <c r="L26" s="30">
        <v>41.658349999999999</v>
      </c>
      <c r="M26" s="30">
        <v>43.741010000000003</v>
      </c>
      <c r="N26" s="30">
        <v>45.927700000000002</v>
      </c>
      <c r="O26" s="30">
        <v>48.224600000000002</v>
      </c>
      <c r="P26" s="34">
        <v>460.18958000000003</v>
      </c>
    </row>
    <row r="27" spans="2:16" s="3" customFormat="1" ht="18" customHeight="1" thickTop="1" thickBot="1">
      <c r="B27" s="260"/>
      <c r="C27" s="32" t="s">
        <v>40</v>
      </c>
      <c r="D27" s="37">
        <v>3.0000000000000034E-2</v>
      </c>
      <c r="E27" s="37">
        <v>2.9999999999999971E-2</v>
      </c>
      <c r="F27" s="37">
        <v>2.9999999999999985E-2</v>
      </c>
      <c r="G27" s="37">
        <v>2.9999999999999968E-2</v>
      </c>
      <c r="H27" s="37">
        <v>0.03</v>
      </c>
      <c r="I27" s="37">
        <v>2.9999999999999936E-2</v>
      </c>
      <c r="J27" s="37">
        <v>2.9999999999999954E-2</v>
      </c>
      <c r="K27" s="37">
        <v>3.0000000000000117E-2</v>
      </c>
      <c r="L27" s="37">
        <v>2.9999999999999961E-2</v>
      </c>
      <c r="M27" s="37">
        <v>3.0000000000000096E-2</v>
      </c>
      <c r="N27" s="37">
        <v>2.9999999999999954E-2</v>
      </c>
      <c r="O27" s="37">
        <v>3.0000000000000044E-2</v>
      </c>
      <c r="P27" s="35">
        <v>3.0000000000000075E-2</v>
      </c>
    </row>
    <row r="28" spans="2:16" s="3" customFormat="1" ht="18" customHeight="1" thickTop="1" thickBot="1">
      <c r="B28" s="260" t="s">
        <v>9</v>
      </c>
      <c r="C28" s="31" t="s">
        <v>65</v>
      </c>
      <c r="D28" s="34">
        <v>6.9669999999999996</v>
      </c>
      <c r="E28" s="34">
        <v>3.879</v>
      </c>
      <c r="F28" s="34">
        <v>4.0039999999999996</v>
      </c>
      <c r="G28" s="34">
        <v>11.438000000000001</v>
      </c>
      <c r="H28" s="34">
        <v>12.528</v>
      </c>
      <c r="I28" s="34">
        <v>10.429</v>
      </c>
      <c r="J28" s="34">
        <v>13.36</v>
      </c>
      <c r="K28" s="34">
        <v>9.1319999999999997</v>
      </c>
      <c r="L28" s="34">
        <v>6.3570000000000002</v>
      </c>
      <c r="M28" s="34">
        <v>10.189</v>
      </c>
      <c r="N28" s="34">
        <v>10.035</v>
      </c>
      <c r="O28" s="34">
        <v>6.31</v>
      </c>
      <c r="P28" s="34">
        <v>104.62800000000001</v>
      </c>
    </row>
    <row r="29" spans="2:16" s="3" customFormat="1" ht="18" customHeight="1" thickTop="1" thickBot="1">
      <c r="B29" s="260"/>
      <c r="C29" s="29" t="s">
        <v>59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</row>
    <row r="30" spans="2:16" s="3" customFormat="1" ht="18" customHeight="1" thickTop="1" thickBot="1">
      <c r="B30" s="260"/>
      <c r="C30" s="29" t="s">
        <v>60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2:16" s="3" customFormat="1" ht="18" customHeight="1" thickTop="1" thickBot="1">
      <c r="B31" s="260"/>
      <c r="C31" s="29" t="s">
        <v>139</v>
      </c>
      <c r="D31" s="34">
        <v>6.9669999999999996</v>
      </c>
      <c r="E31" s="34">
        <v>3.879</v>
      </c>
      <c r="F31" s="34">
        <v>4.0039999999999996</v>
      </c>
      <c r="G31" s="34">
        <v>11.438000000000001</v>
      </c>
      <c r="H31" s="34">
        <v>12.528</v>
      </c>
      <c r="I31" s="34">
        <v>10.429</v>
      </c>
      <c r="J31" s="34">
        <v>13.36</v>
      </c>
      <c r="K31" s="34">
        <v>9.1319999999999997</v>
      </c>
      <c r="L31" s="34">
        <v>6.3570000000000002</v>
      </c>
      <c r="M31" s="34">
        <v>10.189</v>
      </c>
      <c r="N31" s="34">
        <v>10.035</v>
      </c>
      <c r="O31" s="34">
        <v>6.31</v>
      </c>
      <c r="P31" s="34">
        <v>104.62800000000001</v>
      </c>
    </row>
    <row r="32" spans="2:16" s="3" customFormat="1" ht="18" customHeight="1" thickTop="1" thickBot="1">
      <c r="B32" s="260"/>
      <c r="C32" s="32" t="s">
        <v>40</v>
      </c>
      <c r="D32" s="35">
        <v>-0.27988101033717544</v>
      </c>
      <c r="E32" s="35">
        <v>-0.70912030451257224</v>
      </c>
      <c r="F32" s="35">
        <v>-0.70352511891574898</v>
      </c>
      <c r="G32" s="35">
        <v>-0.12436095498091483</v>
      </c>
      <c r="H32" s="35">
        <v>-6.6888623236171438E-2</v>
      </c>
      <c r="I32" s="35">
        <v>-0.19243557836603906</v>
      </c>
      <c r="J32" s="35">
        <v>0.25943040939972489</v>
      </c>
      <c r="K32" s="35">
        <v>-0.20948753462603878</v>
      </c>
      <c r="L32" s="35">
        <v>-0.47592745259686731</v>
      </c>
      <c r="M32" s="35">
        <v>-0.20004710685404725</v>
      </c>
      <c r="N32" s="35">
        <v>-0.24966352624495292</v>
      </c>
      <c r="O32" s="35">
        <v>-0.55066581214840138</v>
      </c>
      <c r="P32" s="35">
        <v>-0.3041601285642439</v>
      </c>
    </row>
    <row r="33" spans="2:16" s="3" customFormat="1" ht="18" customHeight="1" thickTop="1" thickBot="1">
      <c r="B33" s="260" t="s">
        <v>4</v>
      </c>
      <c r="C33" s="31" t="s">
        <v>65</v>
      </c>
      <c r="D33" s="34">
        <v>60.139000000000003</v>
      </c>
      <c r="E33" s="34">
        <v>57.859000000000002</v>
      </c>
      <c r="F33" s="34">
        <v>55.112000000000002</v>
      </c>
      <c r="G33" s="34">
        <v>57.628999999999998</v>
      </c>
      <c r="H33" s="34">
        <v>57.915999999999997</v>
      </c>
      <c r="I33" s="34">
        <v>56.088999999999999</v>
      </c>
      <c r="J33" s="34">
        <v>60.174999999999997</v>
      </c>
      <c r="K33" s="34">
        <v>61.396000000000001</v>
      </c>
      <c r="L33" s="34">
        <v>62.459000000000003</v>
      </c>
      <c r="M33" s="34">
        <v>62.667999999999999</v>
      </c>
      <c r="N33" s="34">
        <v>58.04</v>
      </c>
      <c r="O33" s="34">
        <v>57.253999999999998</v>
      </c>
      <c r="P33" s="34">
        <v>706.73599999999999</v>
      </c>
    </row>
    <row r="34" spans="2:16" s="3" customFormat="1" ht="18" customHeight="1" thickTop="1" thickBot="1">
      <c r="B34" s="260"/>
      <c r="C34" s="29" t="s">
        <v>59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</row>
    <row r="35" spans="2:16" s="3" customFormat="1" ht="18" customHeight="1" thickTop="1" thickBot="1">
      <c r="B35" s="260"/>
      <c r="C35" s="29" t="s">
        <v>60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</row>
    <row r="36" spans="2:16" s="3" customFormat="1" ht="18" customHeight="1" thickTop="1" thickBot="1">
      <c r="B36" s="260"/>
      <c r="C36" s="29" t="s">
        <v>139</v>
      </c>
      <c r="D36" s="34">
        <v>60.139000000000003</v>
      </c>
      <c r="E36" s="34">
        <v>57.859000000000002</v>
      </c>
      <c r="F36" s="34">
        <v>55.112000000000002</v>
      </c>
      <c r="G36" s="34">
        <v>57.628999999999998</v>
      </c>
      <c r="H36" s="34">
        <v>57.915999999999997</v>
      </c>
      <c r="I36" s="34">
        <v>56.088999999999999</v>
      </c>
      <c r="J36" s="34">
        <v>60.174999999999997</v>
      </c>
      <c r="K36" s="34">
        <v>61.396000000000001</v>
      </c>
      <c r="L36" s="34">
        <v>62.459000000000003</v>
      </c>
      <c r="M36" s="34">
        <v>62.667999999999999</v>
      </c>
      <c r="N36" s="34">
        <v>58.04</v>
      </c>
      <c r="O36" s="34">
        <v>57.253999999999998</v>
      </c>
      <c r="P36" s="34">
        <v>706.73599999999999</v>
      </c>
    </row>
    <row r="37" spans="2:16" s="3" customFormat="1" ht="18" customHeight="1" thickTop="1" thickBot="1">
      <c r="B37" s="260"/>
      <c r="C37" s="32" t="s">
        <v>40</v>
      </c>
      <c r="D37" s="35">
        <v>2.682352137686117E-2</v>
      </c>
      <c r="E37" s="35">
        <v>4.6255944738793145E-2</v>
      </c>
      <c r="F37" s="35">
        <v>1.6357768556938688E-2</v>
      </c>
      <c r="G37" s="35">
        <v>-5.8026446983442101E-2</v>
      </c>
      <c r="H37" s="35">
        <v>1.1121004207475572E-2</v>
      </c>
      <c r="I37" s="35">
        <v>4.7824543705281157E-2</v>
      </c>
      <c r="J37" s="35">
        <v>9.6523196909508308E-2</v>
      </c>
      <c r="K37" s="35">
        <v>-4.3407809043033894E-2</v>
      </c>
      <c r="L37" s="35">
        <v>6.5265736294195563E-3</v>
      </c>
      <c r="M37" s="35">
        <v>0.27087262476932122</v>
      </c>
      <c r="N37" s="35">
        <v>-2.6452186456883076E-2</v>
      </c>
      <c r="O37" s="35">
        <v>-5.4933808722062709E-2</v>
      </c>
      <c r="P37" s="35">
        <v>2.3209619157237821E-2</v>
      </c>
    </row>
    <row r="38" spans="2:16" s="3" customFormat="1" ht="18" customHeight="1" thickTop="1" thickBot="1">
      <c r="B38" s="260" t="s">
        <v>10</v>
      </c>
      <c r="C38" s="31" t="s">
        <v>65</v>
      </c>
      <c r="D38" s="30">
        <v>9.1237400000000015</v>
      </c>
      <c r="E38" s="30">
        <v>8.6993799999999997</v>
      </c>
      <c r="F38" s="30">
        <v>9.6541899999999998</v>
      </c>
      <c r="G38" s="30">
        <v>6.3654000000000002</v>
      </c>
      <c r="H38" s="30">
        <v>10.82118</v>
      </c>
      <c r="I38" s="30">
        <v>6.5775800000000002</v>
      </c>
      <c r="J38" s="30">
        <v>8.4871999999999996</v>
      </c>
      <c r="K38" s="30">
        <v>6.6836700000000002</v>
      </c>
      <c r="L38" s="30">
        <v>6.6836700000000002</v>
      </c>
      <c r="M38" s="30">
        <v>5.7288600000000001</v>
      </c>
      <c r="N38" s="30">
        <v>4.2435999999999998</v>
      </c>
      <c r="O38" s="30">
        <v>0.10609000000000002</v>
      </c>
      <c r="P38" s="34">
        <v>83.17456</v>
      </c>
    </row>
    <row r="39" spans="2:16" s="3" customFormat="1" ht="18" customHeight="1" thickTop="1" thickBot="1">
      <c r="B39" s="260"/>
      <c r="C39" s="29" t="s">
        <v>59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4">
        <v>0</v>
      </c>
    </row>
    <row r="40" spans="2:16" s="3" customFormat="1" ht="18" customHeight="1" thickTop="1" thickBot="1">
      <c r="B40" s="260"/>
      <c r="C40" s="29" t="s">
        <v>60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4">
        <v>0</v>
      </c>
    </row>
    <row r="41" spans="2:16" s="3" customFormat="1" ht="18" customHeight="1" thickTop="1" thickBot="1">
      <c r="B41" s="260"/>
      <c r="C41" s="29" t="s">
        <v>139</v>
      </c>
      <c r="D41" s="30">
        <v>9.1237400000000015</v>
      </c>
      <c r="E41" s="30">
        <v>8.6993799999999997</v>
      </c>
      <c r="F41" s="30">
        <v>9.6541899999999998</v>
      </c>
      <c r="G41" s="30">
        <v>6.3654000000000002</v>
      </c>
      <c r="H41" s="30">
        <v>10.82118</v>
      </c>
      <c r="I41" s="30">
        <v>6.5775800000000002</v>
      </c>
      <c r="J41" s="30">
        <v>8.4871999999999996</v>
      </c>
      <c r="K41" s="30">
        <v>6.6836700000000002</v>
      </c>
      <c r="L41" s="30">
        <v>6.6836700000000002</v>
      </c>
      <c r="M41" s="30">
        <v>5.7288600000000001</v>
      </c>
      <c r="N41" s="30">
        <v>4.2435999999999998</v>
      </c>
      <c r="O41" s="30">
        <v>0.10609000000000002</v>
      </c>
      <c r="P41" s="34">
        <v>83.17456</v>
      </c>
    </row>
    <row r="42" spans="2:16" s="3" customFormat="1" ht="18" customHeight="1" thickTop="1" thickBot="1">
      <c r="B42" s="260"/>
      <c r="C42" s="32" t="s">
        <v>40</v>
      </c>
      <c r="D42" s="37">
        <v>3.000000000000011E-2</v>
      </c>
      <c r="E42" s="37">
        <v>2.9999999999999995E-2</v>
      </c>
      <c r="F42" s="37">
        <v>3.0000000000000054E-2</v>
      </c>
      <c r="G42" s="37">
        <v>3.0000000000000075E-2</v>
      </c>
      <c r="H42" s="37">
        <v>2.9999999999999978E-2</v>
      </c>
      <c r="I42" s="37">
        <v>3.0000000000000013E-2</v>
      </c>
      <c r="J42" s="37">
        <v>2.999999999999993E-2</v>
      </c>
      <c r="K42" s="37">
        <v>3.0000000000000054E-2</v>
      </c>
      <c r="L42" s="37">
        <v>3.0000000000000054E-2</v>
      </c>
      <c r="M42" s="37">
        <v>2.9999999999999961E-2</v>
      </c>
      <c r="N42" s="37">
        <v>2.999999999999993E-2</v>
      </c>
      <c r="O42" s="37">
        <v>3.0000000000000089E-2</v>
      </c>
      <c r="P42" s="35">
        <v>2.9999999999999874E-2</v>
      </c>
    </row>
    <row r="43" spans="2:16" s="3" customFormat="1" ht="18" customHeight="1" thickTop="1" thickBot="1">
      <c r="B43" s="260" t="s">
        <v>11</v>
      </c>
      <c r="C43" s="31" t="s">
        <v>65</v>
      </c>
      <c r="D43" s="30">
        <v>36.050000000000004</v>
      </c>
      <c r="E43" s="30">
        <v>37.852499999999999</v>
      </c>
      <c r="F43" s="30">
        <v>39.745640000000002</v>
      </c>
      <c r="G43" s="30">
        <v>41.732510000000005</v>
      </c>
      <c r="H43" s="30">
        <v>43.819290000000002</v>
      </c>
      <c r="I43" s="30">
        <v>46.010100000000001</v>
      </c>
      <c r="J43" s="30">
        <v>48.311120000000003</v>
      </c>
      <c r="K43" s="30">
        <v>50.726470000000006</v>
      </c>
      <c r="L43" s="30">
        <v>53.262329999999999</v>
      </c>
      <c r="M43" s="30">
        <v>55.925910000000002</v>
      </c>
      <c r="N43" s="30">
        <v>58.722360000000002</v>
      </c>
      <c r="O43" s="30">
        <v>61.65889</v>
      </c>
      <c r="P43" s="34">
        <v>573.81712000000005</v>
      </c>
    </row>
    <row r="44" spans="2:16" s="3" customFormat="1" ht="18" customHeight="1" thickTop="1" thickBot="1">
      <c r="B44" s="260"/>
      <c r="C44" s="29" t="s">
        <v>59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4">
        <v>0</v>
      </c>
    </row>
    <row r="45" spans="2:16" s="3" customFormat="1" ht="18" customHeight="1" thickTop="1" thickBot="1">
      <c r="B45" s="260"/>
      <c r="C45" s="29" t="s">
        <v>60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4">
        <v>0</v>
      </c>
    </row>
    <row r="46" spans="2:16" s="3" customFormat="1" ht="18" customHeight="1" thickTop="1" thickBot="1">
      <c r="B46" s="260"/>
      <c r="C46" s="29" t="s">
        <v>139</v>
      </c>
      <c r="D46" s="30">
        <v>36.050000000000004</v>
      </c>
      <c r="E46" s="30">
        <v>37.852499999999999</v>
      </c>
      <c r="F46" s="30">
        <v>39.745640000000002</v>
      </c>
      <c r="G46" s="30">
        <v>41.732510000000005</v>
      </c>
      <c r="H46" s="30">
        <v>43.819290000000002</v>
      </c>
      <c r="I46" s="30">
        <v>46.010100000000001</v>
      </c>
      <c r="J46" s="30">
        <v>48.311120000000003</v>
      </c>
      <c r="K46" s="30">
        <v>50.726470000000006</v>
      </c>
      <c r="L46" s="30">
        <v>53.262329999999999</v>
      </c>
      <c r="M46" s="30">
        <v>55.925910000000002</v>
      </c>
      <c r="N46" s="30">
        <v>58.722360000000002</v>
      </c>
      <c r="O46" s="30">
        <v>61.65889</v>
      </c>
      <c r="P46" s="34">
        <v>573.81712000000005</v>
      </c>
    </row>
    <row r="47" spans="2:16" s="3" customFormat="1" ht="18" customHeight="1" thickTop="1" thickBot="1">
      <c r="B47" s="260"/>
      <c r="C47" s="32" t="s">
        <v>40</v>
      </c>
      <c r="D47" s="37">
        <v>3.000000000000012E-2</v>
      </c>
      <c r="E47" s="37">
        <v>2.9999999999999978E-2</v>
      </c>
      <c r="F47" s="37">
        <v>3.0000000000000016E-2</v>
      </c>
      <c r="G47" s="37">
        <v>3.0000000000000044E-2</v>
      </c>
      <c r="H47" s="37">
        <v>3.0000000000000072E-2</v>
      </c>
      <c r="I47" s="37">
        <v>2.9999999999999992E-2</v>
      </c>
      <c r="J47" s="37">
        <v>2.9999999999999978E-2</v>
      </c>
      <c r="K47" s="37">
        <v>3.0000000000000075E-2</v>
      </c>
      <c r="L47" s="37">
        <v>3.0000000000000002E-2</v>
      </c>
      <c r="M47" s="37">
        <v>3.0000000000000089E-2</v>
      </c>
      <c r="N47" s="37">
        <v>3.0000000000000027E-2</v>
      </c>
      <c r="O47" s="37">
        <v>0.03</v>
      </c>
      <c r="P47" s="35">
        <v>3.0000000000000002E-2</v>
      </c>
    </row>
    <row r="48" spans="2:16" ht="18" customHeight="1" thickTop="1" thickBot="1">
      <c r="B48" s="260" t="s">
        <v>43</v>
      </c>
      <c r="C48" s="31" t="s">
        <v>65</v>
      </c>
      <c r="D48" s="34">
        <v>666.23176260000002</v>
      </c>
      <c r="E48" s="34">
        <v>669.00627059999988</v>
      </c>
      <c r="F48" s="34">
        <v>730.73100620000002</v>
      </c>
      <c r="G48" s="34">
        <v>695.3103655000001</v>
      </c>
      <c r="H48" s="34">
        <v>717.50104909999993</v>
      </c>
      <c r="I48" s="34">
        <v>688.9964473</v>
      </c>
      <c r="J48" s="34">
        <v>688.6392239999999</v>
      </c>
      <c r="K48" s="34">
        <v>656.43444380000005</v>
      </c>
      <c r="L48" s="34">
        <v>676.43911950000006</v>
      </c>
      <c r="M48" s="34">
        <v>649.97580920000007</v>
      </c>
      <c r="N48" s="34">
        <v>579.78470129999994</v>
      </c>
      <c r="O48" s="34">
        <v>665.20780130000003</v>
      </c>
      <c r="P48" s="151">
        <v>8084.2569999999996</v>
      </c>
    </row>
    <row r="49" spans="2:17" ht="18" customHeight="1" thickTop="1" thickBot="1">
      <c r="B49" s="260"/>
      <c r="C49" s="29" t="s">
        <v>59</v>
      </c>
      <c r="D49" s="34">
        <v>677.05358209999997</v>
      </c>
      <c r="E49" s="34">
        <v>659.73303639999995</v>
      </c>
      <c r="F49" s="34">
        <v>740.60734760000003</v>
      </c>
      <c r="G49" s="34">
        <v>707.35180780000007</v>
      </c>
      <c r="H49" s="34">
        <v>753.49872259999995</v>
      </c>
      <c r="I49" s="34">
        <v>722.07818889999999</v>
      </c>
      <c r="J49" s="34">
        <v>696.65968039999996</v>
      </c>
      <c r="K49" s="34">
        <v>733.97479379999993</v>
      </c>
      <c r="L49" s="34">
        <v>722.78203259999998</v>
      </c>
      <c r="M49" s="34">
        <v>741.55573939999999</v>
      </c>
      <c r="N49" s="34">
        <v>719.49736340000004</v>
      </c>
      <c r="O49" s="34">
        <v>719.35770500000001</v>
      </c>
      <c r="P49" s="34">
        <v>8594.1509999999998</v>
      </c>
    </row>
    <row r="50" spans="2:17" ht="18" customHeight="1" thickTop="1" thickBot="1">
      <c r="B50" s="260"/>
      <c r="C50" s="29" t="s">
        <v>60</v>
      </c>
      <c r="D50" s="34">
        <v>91.125072899999992</v>
      </c>
      <c r="E50" s="34">
        <v>81.403016899999997</v>
      </c>
      <c r="F50" s="34">
        <v>88.883066200000002</v>
      </c>
      <c r="G50" s="34">
        <v>87.508544299999997</v>
      </c>
      <c r="H50" s="34">
        <v>91.046758300000008</v>
      </c>
      <c r="I50" s="34">
        <v>83.610886499999992</v>
      </c>
      <c r="J50" s="34">
        <v>94.060866700000005</v>
      </c>
      <c r="K50" s="34">
        <v>95.491614400000003</v>
      </c>
      <c r="L50" s="34">
        <v>86.597886000000003</v>
      </c>
      <c r="M50" s="34">
        <v>90.208390300000005</v>
      </c>
      <c r="N50" s="34">
        <v>89.435284600000003</v>
      </c>
      <c r="O50" s="34">
        <v>84.289613099999997</v>
      </c>
      <c r="P50" s="34">
        <v>1063.6619999999998</v>
      </c>
    </row>
    <row r="51" spans="2:17" ht="18" customHeight="1" thickTop="1" thickBot="1">
      <c r="B51" s="260"/>
      <c r="C51" s="29" t="s">
        <v>139</v>
      </c>
      <c r="D51" s="34">
        <v>1434.4110000000001</v>
      </c>
      <c r="E51" s="34">
        <v>1410.1420000000001</v>
      </c>
      <c r="F51" s="34">
        <v>1560.221</v>
      </c>
      <c r="G51" s="34">
        <v>1490.1709999999998</v>
      </c>
      <c r="H51" s="34">
        <v>1562.047</v>
      </c>
      <c r="I51" s="34">
        <v>1494.6850000000002</v>
      </c>
      <c r="J51" s="34">
        <v>1479.36</v>
      </c>
      <c r="K51" s="34">
        <v>1485.9010000000001</v>
      </c>
      <c r="L51" s="34">
        <v>1485.819</v>
      </c>
      <c r="M51" s="34">
        <v>1481.7400000000002</v>
      </c>
      <c r="N51" s="34">
        <v>1388.7169999999999</v>
      </c>
      <c r="O51" s="34">
        <v>1468.8559999999998</v>
      </c>
      <c r="P51" s="34">
        <v>17742.07</v>
      </c>
      <c r="Q51" s="4" t="s">
        <v>17</v>
      </c>
    </row>
    <row r="52" spans="2:17" ht="18" customHeight="1" thickTop="1" thickBot="1">
      <c r="B52" s="260"/>
      <c r="C52" s="32" t="s">
        <v>40</v>
      </c>
      <c r="D52" s="35">
        <v>2.9438234179613491E-2</v>
      </c>
      <c r="E52" s="35">
        <v>6.7932607363752159E-2</v>
      </c>
      <c r="F52" s="35">
        <v>0.12665083320636245</v>
      </c>
      <c r="G52" s="35">
        <v>0.14406853182180054</v>
      </c>
      <c r="H52" s="35">
        <v>0.14376269029493102</v>
      </c>
      <c r="I52" s="35">
        <v>0.19608194607934543</v>
      </c>
      <c r="J52" s="35">
        <v>5.5321334560318243E-2</v>
      </c>
      <c r="K52" s="35">
        <v>1.3876569020527243E-2</v>
      </c>
      <c r="L52" s="35">
        <v>6.7321264764553607E-2</v>
      </c>
      <c r="M52" s="35">
        <v>5.9144515678018185E-2</v>
      </c>
      <c r="N52" s="35">
        <v>4.0080856739921261E-2</v>
      </c>
      <c r="O52" s="35">
        <v>9.0969319885886024E-2</v>
      </c>
      <c r="P52" s="35">
        <v>8.4704498057755609E-2</v>
      </c>
    </row>
    <row r="53" spans="2:17" s="3" customFormat="1" ht="18" customHeight="1" thickTop="1" thickBot="1">
      <c r="B53" s="260" t="s">
        <v>6</v>
      </c>
      <c r="C53" s="31" t="s">
        <v>65</v>
      </c>
      <c r="D53" s="30">
        <v>1.2370094</v>
      </c>
      <c r="E53" s="30">
        <v>1.5563403000000002</v>
      </c>
      <c r="F53" s="30">
        <v>1.6337860000000002</v>
      </c>
      <c r="G53" s="30">
        <v>1.7154753</v>
      </c>
      <c r="H53" s="30">
        <v>1.8014082</v>
      </c>
      <c r="I53" s="30">
        <v>1.8915846999999999</v>
      </c>
      <c r="J53" s="30">
        <v>1.9860048000000001</v>
      </c>
      <c r="K53" s="30">
        <v>2.0857294000000004</v>
      </c>
      <c r="L53" s="30">
        <v>2.1896976000000001</v>
      </c>
      <c r="M53" s="30">
        <v>2.2989702999999997</v>
      </c>
      <c r="N53" s="30">
        <v>2.4135475</v>
      </c>
      <c r="O53" s="30">
        <v>2.5344901000000002</v>
      </c>
      <c r="P53" s="34">
        <v>23.344043599999999</v>
      </c>
    </row>
    <row r="54" spans="2:17" s="3" customFormat="1" ht="18" customHeight="1" thickTop="1" thickBot="1">
      <c r="B54" s="260"/>
      <c r="C54" s="29" t="s">
        <v>59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4">
        <v>0</v>
      </c>
    </row>
    <row r="55" spans="2:17" s="3" customFormat="1" ht="18" customHeight="1" thickTop="1" thickBot="1">
      <c r="B55" s="260"/>
      <c r="C55" s="29" t="s">
        <v>60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4">
        <v>0</v>
      </c>
    </row>
    <row r="56" spans="2:17" s="3" customFormat="1" ht="18" customHeight="1" thickTop="1" thickBot="1">
      <c r="B56" s="260"/>
      <c r="C56" s="29" t="s">
        <v>139</v>
      </c>
      <c r="D56" s="30">
        <v>1.2370094</v>
      </c>
      <c r="E56" s="30">
        <v>1.5563403000000002</v>
      </c>
      <c r="F56" s="30">
        <v>1.6337860000000002</v>
      </c>
      <c r="G56" s="30">
        <v>1.7154753</v>
      </c>
      <c r="H56" s="30">
        <v>1.8014082</v>
      </c>
      <c r="I56" s="30">
        <v>1.8915846999999999</v>
      </c>
      <c r="J56" s="30">
        <v>1.9860048000000001</v>
      </c>
      <c r="K56" s="30">
        <v>2.0857294000000004</v>
      </c>
      <c r="L56" s="30">
        <v>2.1896976000000001</v>
      </c>
      <c r="M56" s="30">
        <v>2.2989702999999997</v>
      </c>
      <c r="N56" s="30">
        <v>2.4135475</v>
      </c>
      <c r="O56" s="30">
        <v>2.5344901000000002</v>
      </c>
      <c r="P56" s="34">
        <v>23.344043599999999</v>
      </c>
    </row>
    <row r="57" spans="2:17" s="3" customFormat="1" ht="18" customHeight="1" thickTop="1" thickBot="1">
      <c r="B57" s="260"/>
      <c r="C57" s="32" t="s">
        <v>40</v>
      </c>
      <c r="D57" s="37">
        <v>3.0000000000000086E-2</v>
      </c>
      <c r="E57" s="37">
        <v>3.0000000000000027E-2</v>
      </c>
      <c r="F57" s="37">
        <v>3.0000000000000079E-2</v>
      </c>
      <c r="G57" s="37">
        <v>2.9999999999999992E-2</v>
      </c>
      <c r="H57" s="37">
        <v>3.0000000000000044E-2</v>
      </c>
      <c r="I57" s="37">
        <v>2.9999999999999968E-2</v>
      </c>
      <c r="J57" s="37">
        <v>3.0000000000000013E-2</v>
      </c>
      <c r="K57" s="37">
        <v>3.0000000000000082E-2</v>
      </c>
      <c r="L57" s="37">
        <v>2.999999999999994E-2</v>
      </c>
      <c r="M57" s="37">
        <v>2.999999999999994E-2</v>
      </c>
      <c r="N57" s="37">
        <v>3.0000000000000054E-2</v>
      </c>
      <c r="O57" s="37">
        <v>3.0000000000000113E-2</v>
      </c>
      <c r="P57" s="35">
        <v>2.999999999999994E-2</v>
      </c>
    </row>
    <row r="58" spans="2:17" s="3" customFormat="1" ht="18" customHeight="1" thickTop="1" thickBot="1">
      <c r="B58" s="261" t="s">
        <v>44</v>
      </c>
      <c r="C58" s="31" t="s">
        <v>65</v>
      </c>
      <c r="D58" s="34">
        <v>111.369</v>
      </c>
      <c r="E58" s="34">
        <v>105.063</v>
      </c>
      <c r="F58" s="34">
        <v>99.256</v>
      </c>
      <c r="G58" s="34">
        <v>87.801000000000002</v>
      </c>
      <c r="H58" s="34">
        <v>119.148</v>
      </c>
      <c r="I58" s="34">
        <v>117.58799999999999</v>
      </c>
      <c r="J58" s="34">
        <v>104.512</v>
      </c>
      <c r="K58" s="34">
        <v>111.002</v>
      </c>
      <c r="L58" s="34">
        <v>104.346</v>
      </c>
      <c r="M58" s="34">
        <v>113.071</v>
      </c>
      <c r="N58" s="34">
        <v>118.50700000000001</v>
      </c>
      <c r="O58" s="34">
        <v>119.941</v>
      </c>
      <c r="P58" s="34">
        <v>1311.6039999999998</v>
      </c>
    </row>
    <row r="59" spans="2:17" s="3" customFormat="1" ht="18" customHeight="1" thickTop="1" thickBot="1">
      <c r="B59" s="261"/>
      <c r="C59" s="29" t="s">
        <v>59</v>
      </c>
      <c r="D59" s="34">
        <v>4.766</v>
      </c>
      <c r="E59" s="34">
        <v>5.931</v>
      </c>
      <c r="F59" s="34">
        <v>7.0129999999999999</v>
      </c>
      <c r="G59" s="34">
        <v>5.1820000000000004</v>
      </c>
      <c r="H59" s="34">
        <v>5.9930000000000003</v>
      </c>
      <c r="I59" s="34">
        <v>5.0570000000000004</v>
      </c>
      <c r="J59" s="34">
        <v>6.1840000000000002</v>
      </c>
      <c r="K59" s="34">
        <v>2.4369999999999998</v>
      </c>
      <c r="L59" s="34">
        <v>4.24</v>
      </c>
      <c r="M59" s="34">
        <v>4.3789999999999996</v>
      </c>
      <c r="N59" s="34">
        <v>4.1079999999999997</v>
      </c>
      <c r="O59" s="34">
        <v>4.7309999999999999</v>
      </c>
      <c r="P59" s="34">
        <v>60.021000000000001</v>
      </c>
    </row>
    <row r="60" spans="2:17" s="3" customFormat="1" ht="18" customHeight="1" thickTop="1" thickBot="1">
      <c r="B60" s="261"/>
      <c r="C60" s="29" t="s">
        <v>60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</row>
    <row r="61" spans="2:17" s="3" customFormat="1" ht="18" customHeight="1" thickTop="1" thickBot="1">
      <c r="B61" s="261"/>
      <c r="C61" s="29" t="s">
        <v>139</v>
      </c>
      <c r="D61" s="34">
        <v>116.13500000000001</v>
      </c>
      <c r="E61" s="34">
        <v>110.994</v>
      </c>
      <c r="F61" s="34">
        <v>106.26900000000001</v>
      </c>
      <c r="G61" s="34">
        <v>92.983000000000004</v>
      </c>
      <c r="H61" s="34">
        <v>125.14099999999999</v>
      </c>
      <c r="I61" s="34">
        <v>122.645</v>
      </c>
      <c r="J61" s="34">
        <v>110.696</v>
      </c>
      <c r="K61" s="34">
        <v>113.43899999999999</v>
      </c>
      <c r="L61" s="34">
        <v>108.586</v>
      </c>
      <c r="M61" s="34">
        <v>117.45</v>
      </c>
      <c r="N61" s="34">
        <v>122.61500000000001</v>
      </c>
      <c r="O61" s="34">
        <v>124.672</v>
      </c>
      <c r="P61" s="34">
        <v>1371.625</v>
      </c>
    </row>
    <row r="62" spans="2:17" s="3" customFormat="1" ht="18" customHeight="1" thickTop="1" thickBot="1">
      <c r="B62" s="261"/>
      <c r="C62" s="32" t="s">
        <v>40</v>
      </c>
      <c r="D62" s="35">
        <v>2.5725804363027514E-3</v>
      </c>
      <c r="E62" s="35">
        <v>7.6587324681371124E-2</v>
      </c>
      <c r="F62" s="35">
        <v>3.7499511852227989E-2</v>
      </c>
      <c r="G62" s="35">
        <v>-0.14739863192062941</v>
      </c>
      <c r="H62" s="35">
        <v>-0.12670188489640402</v>
      </c>
      <c r="I62" s="35">
        <v>-0.15017530730747386</v>
      </c>
      <c r="J62" s="35">
        <v>7.3551090076809711E-2</v>
      </c>
      <c r="K62" s="35">
        <v>-0.10003332063975635</v>
      </c>
      <c r="L62" s="35">
        <v>1.1363001322578833E-2</v>
      </c>
      <c r="M62" s="35">
        <v>0.26626632022683905</v>
      </c>
      <c r="N62" s="35">
        <v>9.6705812903052801E-2</v>
      </c>
      <c r="O62" s="35">
        <v>0.15920037192003719</v>
      </c>
      <c r="P62" s="35">
        <v>3.6270696321272669E-3</v>
      </c>
    </row>
    <row r="63" spans="2:17" s="3" customFormat="1" ht="18" customHeight="1" thickTop="1" thickBot="1">
      <c r="B63" s="261" t="s">
        <v>64</v>
      </c>
      <c r="C63" s="31" t="s">
        <v>65</v>
      </c>
      <c r="D63" s="34">
        <v>33.607999999999997</v>
      </c>
      <c r="E63" s="34">
        <v>33.893999999999998</v>
      </c>
      <c r="F63" s="34">
        <v>40.616</v>
      </c>
      <c r="G63" s="34">
        <v>38.832999999999998</v>
      </c>
      <c r="H63" s="34">
        <v>44.140999999999998</v>
      </c>
      <c r="I63" s="34">
        <v>40.768000000000001</v>
      </c>
      <c r="J63" s="34">
        <v>42.935000000000002</v>
      </c>
      <c r="K63" s="34">
        <v>43.058999999999997</v>
      </c>
      <c r="L63" s="30">
        <v>43.752000000000002</v>
      </c>
      <c r="M63" s="30">
        <v>48.606999999999999</v>
      </c>
      <c r="N63" s="30">
        <v>51.548999999999999</v>
      </c>
      <c r="O63" s="30">
        <v>54.125999999999998</v>
      </c>
      <c r="P63" s="34">
        <v>515.88799999999992</v>
      </c>
    </row>
    <row r="64" spans="2:17" s="3" customFormat="1" ht="18" customHeight="1" thickTop="1" thickBot="1">
      <c r="B64" s="261"/>
      <c r="C64" s="29" t="s">
        <v>59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0">
        <v>0</v>
      </c>
      <c r="M64" s="30">
        <v>0</v>
      </c>
      <c r="N64" s="30">
        <v>0</v>
      </c>
      <c r="O64" s="30">
        <v>0</v>
      </c>
      <c r="P64" s="34">
        <v>0</v>
      </c>
    </row>
    <row r="65" spans="2:16" s="3" customFormat="1" ht="18" customHeight="1" thickTop="1" thickBot="1">
      <c r="B65" s="261"/>
      <c r="C65" s="29" t="s">
        <v>60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0">
        <v>0</v>
      </c>
      <c r="M65" s="30">
        <v>0</v>
      </c>
      <c r="N65" s="30">
        <v>0</v>
      </c>
      <c r="O65" s="30">
        <v>0</v>
      </c>
      <c r="P65" s="34">
        <v>0</v>
      </c>
    </row>
    <row r="66" spans="2:16" s="3" customFormat="1" ht="18" customHeight="1" thickTop="1" thickBot="1">
      <c r="B66" s="261"/>
      <c r="C66" s="29" t="s">
        <v>139</v>
      </c>
      <c r="D66" s="34">
        <v>33.607999999999997</v>
      </c>
      <c r="E66" s="34">
        <v>33.893999999999998</v>
      </c>
      <c r="F66" s="34">
        <v>40.616</v>
      </c>
      <c r="G66" s="34">
        <v>38.832999999999998</v>
      </c>
      <c r="H66" s="34">
        <v>44.140999999999998</v>
      </c>
      <c r="I66" s="34">
        <v>40.768000000000001</v>
      </c>
      <c r="J66" s="34">
        <v>42.935000000000002</v>
      </c>
      <c r="K66" s="34">
        <v>43.058999999999997</v>
      </c>
      <c r="L66" s="30">
        <v>43.752000000000002</v>
      </c>
      <c r="M66" s="30">
        <v>48.606999999999999</v>
      </c>
      <c r="N66" s="30">
        <v>51.548999999999999</v>
      </c>
      <c r="O66" s="30">
        <v>54.125999999999998</v>
      </c>
      <c r="P66" s="34">
        <v>515.88799999999992</v>
      </c>
    </row>
    <row r="67" spans="2:16" s="3" customFormat="1" ht="18" customHeight="1" thickTop="1" thickBot="1">
      <c r="B67" s="261"/>
      <c r="C67" s="32" t="s">
        <v>40</v>
      </c>
      <c r="D67" s="35">
        <v>0.20247593831621866</v>
      </c>
      <c r="E67" s="35">
        <v>-5.2763959532725904E-2</v>
      </c>
      <c r="F67" s="35">
        <v>-7.4533857921360606E-3</v>
      </c>
      <c r="G67" s="35">
        <v>7.0487374572720113E-2</v>
      </c>
      <c r="H67" s="35">
        <v>0.11368739750220766</v>
      </c>
      <c r="I67" s="35">
        <v>-2.014132577032161E-2</v>
      </c>
      <c r="J67" s="35">
        <v>6.6284210003476979E-2</v>
      </c>
      <c r="K67" s="35">
        <v>0.16887453173353592</v>
      </c>
      <c r="L67" s="37">
        <v>0.35383853699291401</v>
      </c>
      <c r="M67" s="37">
        <v>0.2810531586853966</v>
      </c>
      <c r="N67" s="37">
        <v>0.41738843520580715</v>
      </c>
      <c r="O67" s="37">
        <v>0.46286486486486478</v>
      </c>
      <c r="P67" s="35">
        <v>0.1647904051009024</v>
      </c>
    </row>
    <row r="68" spans="2:16" s="3" customFormat="1" ht="18" customHeight="1" thickTop="1" thickBot="1">
      <c r="B68" s="261" t="s">
        <v>62</v>
      </c>
      <c r="C68" s="31" t="s">
        <v>65</v>
      </c>
      <c r="D68" s="30">
        <v>25.220775700000001</v>
      </c>
      <c r="E68" s="30">
        <v>26.4821858</v>
      </c>
      <c r="F68" s="30">
        <v>27.806189000000003</v>
      </c>
      <c r="G68" s="30">
        <v>29.197028900000003</v>
      </c>
      <c r="H68" s="30">
        <v>30.6568273</v>
      </c>
      <c r="I68" s="30">
        <v>32.189827800000003</v>
      </c>
      <c r="J68" s="30">
        <v>33.799213100000003</v>
      </c>
      <c r="K68" s="30">
        <v>35.489226799999997</v>
      </c>
      <c r="L68" s="30">
        <v>37.264112500000003</v>
      </c>
      <c r="M68" s="30">
        <v>39.127052900000002</v>
      </c>
      <c r="N68" s="30">
        <v>41.083352500000004</v>
      </c>
      <c r="O68" s="30">
        <v>43.137254900000002</v>
      </c>
      <c r="P68" s="34">
        <v>401.45304720000007</v>
      </c>
    </row>
    <row r="69" spans="2:16" s="3" customFormat="1" ht="18" customHeight="1" thickTop="1" thickBot="1">
      <c r="B69" s="261"/>
      <c r="C69" s="29" t="s">
        <v>59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4">
        <v>0</v>
      </c>
    </row>
    <row r="70" spans="2:16" s="3" customFormat="1" ht="18" customHeight="1" thickTop="1" thickBot="1">
      <c r="B70" s="261"/>
      <c r="C70" s="29" t="s">
        <v>60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4">
        <v>0</v>
      </c>
    </row>
    <row r="71" spans="2:16" s="3" customFormat="1" ht="18" customHeight="1" thickTop="1" thickBot="1">
      <c r="B71" s="261"/>
      <c r="C71" s="29" t="s">
        <v>139</v>
      </c>
      <c r="D71" s="30">
        <v>25.220775700000001</v>
      </c>
      <c r="E71" s="30">
        <v>26.4821858</v>
      </c>
      <c r="F71" s="30">
        <v>27.806189000000003</v>
      </c>
      <c r="G71" s="30">
        <v>29.197028900000003</v>
      </c>
      <c r="H71" s="30">
        <v>30.6568273</v>
      </c>
      <c r="I71" s="30">
        <v>32.189827800000003</v>
      </c>
      <c r="J71" s="30">
        <v>33.799213100000003</v>
      </c>
      <c r="K71" s="30">
        <v>35.489226799999997</v>
      </c>
      <c r="L71" s="30">
        <v>37.264112500000003</v>
      </c>
      <c r="M71" s="30">
        <v>39.127052900000002</v>
      </c>
      <c r="N71" s="30">
        <v>41.083352500000004</v>
      </c>
      <c r="O71" s="30">
        <v>43.137254900000002</v>
      </c>
      <c r="P71" s="34">
        <v>401.45304720000007</v>
      </c>
    </row>
    <row r="72" spans="2:16" s="3" customFormat="1" ht="18" customHeight="1" thickTop="1" thickBot="1">
      <c r="B72" s="261"/>
      <c r="C72" s="32" t="s">
        <v>40</v>
      </c>
      <c r="D72" s="37">
        <v>3.0000000000000009E-2</v>
      </c>
      <c r="E72" s="37">
        <v>2.9999999999999985E-2</v>
      </c>
      <c r="F72" s="37">
        <v>3.0000000000000068E-2</v>
      </c>
      <c r="G72" s="37">
        <v>3.0000000000000065E-2</v>
      </c>
      <c r="H72" s="37">
        <v>3.000000000000002E-2</v>
      </c>
      <c r="I72" s="37">
        <v>3.0000000000000117E-2</v>
      </c>
      <c r="J72" s="37">
        <v>0.03</v>
      </c>
      <c r="K72" s="37">
        <v>2.9999999999999968E-2</v>
      </c>
      <c r="L72" s="37">
        <v>3.0000000000000061E-2</v>
      </c>
      <c r="M72" s="37">
        <v>2.9999999999999975E-2</v>
      </c>
      <c r="N72" s="37">
        <v>3.0000000000000113E-2</v>
      </c>
      <c r="O72" s="37">
        <v>2.9999999999999971E-2</v>
      </c>
      <c r="P72" s="35">
        <v>3.0000000000000006E-2</v>
      </c>
    </row>
    <row r="73" spans="2:16" s="3" customFormat="1" ht="18" customHeight="1" thickTop="1" thickBot="1">
      <c r="B73" s="260" t="s">
        <v>7</v>
      </c>
      <c r="C73" s="31" t="s">
        <v>65</v>
      </c>
      <c r="D73" s="30">
        <v>4.158728</v>
      </c>
      <c r="E73" s="30">
        <v>3.3386522999999997</v>
      </c>
      <c r="F73" s="30">
        <v>7.2342771000000008</v>
      </c>
      <c r="G73" s="30">
        <v>5.9972677000000001</v>
      </c>
      <c r="H73" s="30">
        <v>8.5020526000000007</v>
      </c>
      <c r="I73" s="30">
        <v>8.0776926000000007</v>
      </c>
      <c r="J73" s="30">
        <v>8.1413466000000003</v>
      </c>
      <c r="K73" s="30">
        <v>7.2703477000000003</v>
      </c>
      <c r="L73" s="30">
        <v>6.312355000000001</v>
      </c>
      <c r="M73" s="30">
        <v>7.5355727000000003</v>
      </c>
      <c r="N73" s="30">
        <v>7.3923512000000002</v>
      </c>
      <c r="O73" s="30">
        <v>4.7507101999999994</v>
      </c>
      <c r="P73" s="34">
        <v>78.711353700000004</v>
      </c>
    </row>
    <row r="74" spans="2:16" s="3" customFormat="1" ht="18" customHeight="1" thickTop="1" thickBot="1">
      <c r="B74" s="260"/>
      <c r="C74" s="29" t="s">
        <v>59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4">
        <v>0</v>
      </c>
    </row>
    <row r="75" spans="2:16" s="3" customFormat="1" ht="18" customHeight="1" thickTop="1" thickBot="1">
      <c r="B75" s="260"/>
      <c r="C75" s="29" t="s">
        <v>60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4">
        <v>0</v>
      </c>
    </row>
    <row r="76" spans="2:16" s="3" customFormat="1" ht="18" customHeight="1" thickTop="1" thickBot="1">
      <c r="B76" s="260"/>
      <c r="C76" s="29" t="s">
        <v>139</v>
      </c>
      <c r="D76" s="30">
        <v>4.158728</v>
      </c>
      <c r="E76" s="30">
        <v>3.3386522999999997</v>
      </c>
      <c r="F76" s="30">
        <v>7.2342771000000008</v>
      </c>
      <c r="G76" s="30">
        <v>5.9972677000000001</v>
      </c>
      <c r="H76" s="30">
        <v>8.5020526000000007</v>
      </c>
      <c r="I76" s="30">
        <v>8.0776926000000007</v>
      </c>
      <c r="J76" s="30">
        <v>8.1413466000000003</v>
      </c>
      <c r="K76" s="30">
        <v>7.2703477000000003</v>
      </c>
      <c r="L76" s="30">
        <v>6.312355000000001</v>
      </c>
      <c r="M76" s="30">
        <v>7.5355727000000003</v>
      </c>
      <c r="N76" s="30">
        <v>7.3923512000000002</v>
      </c>
      <c r="O76" s="30">
        <v>4.7507101999999994</v>
      </c>
      <c r="P76" s="34">
        <v>78.711353700000004</v>
      </c>
    </row>
    <row r="77" spans="2:16" s="3" customFormat="1" ht="18" customHeight="1" thickTop="1" thickBot="1">
      <c r="B77" s="260"/>
      <c r="C77" s="32" t="s">
        <v>40</v>
      </c>
      <c r="D77" s="37">
        <v>2.9999999999999919E-2</v>
      </c>
      <c r="E77" s="37">
        <v>3.0000000000000006E-2</v>
      </c>
      <c r="F77" s="37">
        <v>3.0000000000000068E-2</v>
      </c>
      <c r="G77" s="37">
        <v>3.0000000000000027E-2</v>
      </c>
      <c r="H77" s="37">
        <v>3.0000000000000134E-2</v>
      </c>
      <c r="I77" s="37">
        <v>3.000000000000012E-2</v>
      </c>
      <c r="J77" s="37">
        <v>2.9999999999999978E-2</v>
      </c>
      <c r="K77" s="37">
        <v>3.0000000000000086E-2</v>
      </c>
      <c r="L77" s="37">
        <v>3.0000000000000051E-2</v>
      </c>
      <c r="M77" s="37">
        <v>3.0000000000000051E-2</v>
      </c>
      <c r="N77" s="37">
        <v>3.0000000000000051E-2</v>
      </c>
      <c r="O77" s="37">
        <v>2.9999999999999954E-2</v>
      </c>
      <c r="P77" s="35">
        <v>2.9999999999999839E-2</v>
      </c>
    </row>
    <row r="78" spans="2:16" ht="18" customHeight="1" thickTop="1" thickBot="1">
      <c r="B78" s="260" t="s">
        <v>3</v>
      </c>
      <c r="C78" s="31" t="s">
        <v>65</v>
      </c>
      <c r="D78" s="34">
        <v>79.632999999999996</v>
      </c>
      <c r="E78" s="34">
        <v>46.588000000000001</v>
      </c>
      <c r="F78" s="34">
        <v>44.162999999999997</v>
      </c>
      <c r="G78" s="34">
        <v>76.331220000000002</v>
      </c>
      <c r="H78" s="34">
        <v>68.028999999999996</v>
      </c>
      <c r="I78" s="34">
        <v>52.66</v>
      </c>
      <c r="J78" s="34">
        <v>51.115000000000002</v>
      </c>
      <c r="K78" s="34">
        <v>45.06</v>
      </c>
      <c r="L78" s="34">
        <v>64.86</v>
      </c>
      <c r="M78" s="34">
        <v>54.441000000000003</v>
      </c>
      <c r="N78" s="34">
        <v>65.844999999999999</v>
      </c>
      <c r="O78" s="34">
        <v>77.302999999999997</v>
      </c>
      <c r="P78" s="34">
        <v>726.02822000000003</v>
      </c>
    </row>
    <row r="79" spans="2:16" ht="18" customHeight="1" thickTop="1" thickBot="1">
      <c r="B79" s="260"/>
      <c r="C79" s="29" t="s">
        <v>59</v>
      </c>
      <c r="D79" s="34">
        <v>87.933999999999997</v>
      </c>
      <c r="E79" s="34">
        <v>47.874000000000002</v>
      </c>
      <c r="F79" s="34">
        <v>38.591000000000001</v>
      </c>
      <c r="G79" s="34">
        <v>75.840999999999994</v>
      </c>
      <c r="H79" s="34">
        <v>41.140999999999998</v>
      </c>
      <c r="I79" s="34">
        <v>44.99</v>
      </c>
      <c r="J79" s="34">
        <v>49.06</v>
      </c>
      <c r="K79" s="34">
        <v>36.375</v>
      </c>
      <c r="L79" s="34">
        <v>35.965000000000003</v>
      </c>
      <c r="M79" s="34">
        <v>78.11</v>
      </c>
      <c r="N79" s="34">
        <v>49.947000000000003</v>
      </c>
      <c r="O79" s="34">
        <v>48.957999999999998</v>
      </c>
      <c r="P79" s="34">
        <v>634.78600000000006</v>
      </c>
    </row>
    <row r="80" spans="2:16" ht="18" customHeight="1" thickTop="1" thickBot="1">
      <c r="B80" s="260"/>
      <c r="C80" s="29" t="s">
        <v>60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</row>
    <row r="81" spans="2:17" ht="18" customHeight="1" thickTop="1" thickBot="1">
      <c r="B81" s="260"/>
      <c r="C81" s="29" t="s">
        <v>139</v>
      </c>
      <c r="D81" s="34">
        <v>167.56700000000001</v>
      </c>
      <c r="E81" s="34">
        <v>94.462000000000003</v>
      </c>
      <c r="F81" s="34">
        <v>82.753999999999991</v>
      </c>
      <c r="G81" s="34">
        <v>152.17221999999998</v>
      </c>
      <c r="H81" s="34">
        <v>109.16999999999999</v>
      </c>
      <c r="I81" s="34">
        <v>97.65</v>
      </c>
      <c r="J81" s="34">
        <v>100.17500000000001</v>
      </c>
      <c r="K81" s="34">
        <v>81.435000000000002</v>
      </c>
      <c r="L81" s="34">
        <v>100.825</v>
      </c>
      <c r="M81" s="34">
        <v>132.55099999999999</v>
      </c>
      <c r="N81" s="34">
        <v>115.792</v>
      </c>
      <c r="O81" s="34">
        <v>126.261</v>
      </c>
      <c r="P81" s="34">
        <v>1360.8142199999998</v>
      </c>
    </row>
    <row r="82" spans="2:17" ht="18" customHeight="1" thickTop="1" thickBot="1">
      <c r="B82" s="260"/>
      <c r="C82" s="32" t="s">
        <v>40</v>
      </c>
      <c r="D82" s="35">
        <v>4.7123592416232339E-2</v>
      </c>
      <c r="E82" s="35">
        <v>-0.44357527420095899</v>
      </c>
      <c r="F82" s="35">
        <v>-0.50221960227614504</v>
      </c>
      <c r="G82" s="35">
        <v>-0.32241721249794075</v>
      </c>
      <c r="H82" s="35">
        <v>-0.53850056012343861</v>
      </c>
      <c r="I82" s="35">
        <v>-0.54881485930785934</v>
      </c>
      <c r="J82" s="35">
        <v>-0.49150520550448462</v>
      </c>
      <c r="K82" s="35">
        <v>-0.5449923173627601</v>
      </c>
      <c r="L82" s="35">
        <v>-0.11412480011246412</v>
      </c>
      <c r="M82" s="35">
        <v>-2.1301574175256147E-2</v>
      </c>
      <c r="N82" s="35">
        <v>0.40933046092428282</v>
      </c>
      <c r="O82" s="35">
        <v>0.66478995807072594</v>
      </c>
      <c r="P82" s="35">
        <v>-0.30458407581630553</v>
      </c>
    </row>
    <row r="83" spans="2:17" s="3" customFormat="1" ht="18" customHeight="1" thickTop="1" thickBot="1">
      <c r="B83" s="261" t="s">
        <v>61</v>
      </c>
      <c r="C83" s="31" t="s">
        <v>65</v>
      </c>
      <c r="D83" s="34">
        <f t="shared" ref="D83:O85" si="1">+D3+D8+D13+D18+D23+D28+D33+D38+D43+D48+D53+D58+D63+D68+D73+D78</f>
        <v>2259.0660156999998</v>
      </c>
      <c r="E83" s="34">
        <f t="shared" si="1"/>
        <v>2236.6868289999993</v>
      </c>
      <c r="F83" s="34">
        <f t="shared" si="1"/>
        <v>2488.8242782999996</v>
      </c>
      <c r="G83" s="34">
        <f t="shared" si="1"/>
        <v>2386.5274274000003</v>
      </c>
      <c r="H83" s="34">
        <f t="shared" si="1"/>
        <v>2503.3033371999995</v>
      </c>
      <c r="I83" s="34">
        <f t="shared" si="1"/>
        <v>2278.3296523999998</v>
      </c>
      <c r="J83" s="34">
        <f t="shared" si="1"/>
        <v>2321.7506584999996</v>
      </c>
      <c r="K83" s="34">
        <f t="shared" si="1"/>
        <v>2309.4304576999998</v>
      </c>
      <c r="L83" s="34">
        <f t="shared" si="1"/>
        <v>2327.7936346000001</v>
      </c>
      <c r="M83" s="34">
        <f t="shared" si="1"/>
        <v>2389.0741850999993</v>
      </c>
      <c r="N83" s="34">
        <f t="shared" si="1"/>
        <v>2302.7206124999998</v>
      </c>
      <c r="O83" s="34">
        <f t="shared" si="1"/>
        <v>2090.8268364999999</v>
      </c>
      <c r="P83" s="171">
        <f>SUM(D83:O83)</f>
        <v>27894.333924899998</v>
      </c>
      <c r="Q83" s="5"/>
    </row>
    <row r="84" spans="2:17" s="3" customFormat="1" ht="18" customHeight="1" thickTop="1" thickBot="1">
      <c r="B84" s="261"/>
      <c r="C84" s="29" t="s">
        <v>59</v>
      </c>
      <c r="D84" s="171">
        <f t="shared" si="1"/>
        <v>2164.1345821</v>
      </c>
      <c r="E84" s="171">
        <f t="shared" si="1"/>
        <v>2045.7000363999998</v>
      </c>
      <c r="F84" s="171">
        <f t="shared" si="1"/>
        <v>2319.7683475999997</v>
      </c>
      <c r="G84" s="171">
        <f t="shared" si="1"/>
        <v>2311.4988077999997</v>
      </c>
      <c r="H84" s="171">
        <f t="shared" si="1"/>
        <v>2169.9947225999999</v>
      </c>
      <c r="I84" s="171">
        <f t="shared" si="1"/>
        <v>2165.1201888999994</v>
      </c>
      <c r="J84" s="171">
        <f t="shared" si="1"/>
        <v>2223.0016804000002</v>
      </c>
      <c r="K84" s="171">
        <f t="shared" si="1"/>
        <v>2196.0847937999997</v>
      </c>
      <c r="L84" s="171">
        <f t="shared" si="1"/>
        <v>2246.7780326000002</v>
      </c>
      <c r="M84" s="171">
        <f t="shared" si="1"/>
        <v>2310.2327393999999</v>
      </c>
      <c r="N84" s="171">
        <f t="shared" si="1"/>
        <v>2174.3363634000007</v>
      </c>
      <c r="O84" s="171">
        <f t="shared" si="1"/>
        <v>2146.8627050000005</v>
      </c>
      <c r="P84" s="171">
        <f>SUM(D84:O84)</f>
        <v>26473.512999999999</v>
      </c>
      <c r="Q84" s="5"/>
    </row>
    <row r="85" spans="2:17" s="3" customFormat="1" ht="18" customHeight="1" thickTop="1" thickBot="1">
      <c r="B85" s="261"/>
      <c r="C85" s="29" t="s">
        <v>60</v>
      </c>
      <c r="D85" s="171">
        <f t="shared" si="1"/>
        <v>146.68707289999998</v>
      </c>
      <c r="E85" s="171">
        <f t="shared" si="1"/>
        <v>112.9180169</v>
      </c>
      <c r="F85" s="171">
        <f t="shared" si="1"/>
        <v>152.5440662</v>
      </c>
      <c r="G85" s="171">
        <f t="shared" si="1"/>
        <v>152.71754429999999</v>
      </c>
      <c r="H85" s="171">
        <f t="shared" si="1"/>
        <v>150.9347583</v>
      </c>
      <c r="I85" s="171">
        <f t="shared" si="1"/>
        <v>155.71688649999999</v>
      </c>
      <c r="J85" s="171">
        <f t="shared" si="1"/>
        <v>159.97086669999999</v>
      </c>
      <c r="K85" s="171">
        <f t="shared" si="1"/>
        <v>164.17761440000001</v>
      </c>
      <c r="L85" s="171">
        <f t="shared" si="1"/>
        <v>158.231886</v>
      </c>
      <c r="M85" s="171">
        <f t="shared" si="1"/>
        <v>163.73839029999999</v>
      </c>
      <c r="N85" s="171">
        <f t="shared" si="1"/>
        <v>149.42128460000001</v>
      </c>
      <c r="O85" s="171">
        <f t="shared" si="1"/>
        <v>146.59561309999998</v>
      </c>
      <c r="P85" s="171">
        <f>SUM(D85:O85)</f>
        <v>1813.6540001999999</v>
      </c>
      <c r="Q85" s="5"/>
    </row>
    <row r="86" spans="2:17" s="3" customFormat="1" ht="18" customHeight="1" thickTop="1" thickBot="1">
      <c r="B86" s="261"/>
      <c r="C86" s="29" t="s">
        <v>139</v>
      </c>
      <c r="D86" s="34">
        <f>+D83+D84+D85</f>
        <v>4569.8876706999999</v>
      </c>
      <c r="E86" s="171">
        <f t="shared" ref="E86:O86" si="2">+E83+E84+E85</f>
        <v>4395.304882299999</v>
      </c>
      <c r="F86" s="171">
        <f t="shared" si="2"/>
        <v>4961.136692099999</v>
      </c>
      <c r="G86" s="171">
        <f t="shared" si="2"/>
        <v>4850.7437794999996</v>
      </c>
      <c r="H86" s="171">
        <f t="shared" si="2"/>
        <v>4824.2328180999993</v>
      </c>
      <c r="I86" s="171">
        <f t="shared" si="2"/>
        <v>4599.1667277999995</v>
      </c>
      <c r="J86" s="171">
        <f t="shared" si="2"/>
        <v>4704.7232055999993</v>
      </c>
      <c r="K86" s="171">
        <f t="shared" si="2"/>
        <v>4669.6928658999987</v>
      </c>
      <c r="L86" s="171">
        <f t="shared" si="2"/>
        <v>4732.8035531999994</v>
      </c>
      <c r="M86" s="171">
        <f t="shared" si="2"/>
        <v>4863.0453147999988</v>
      </c>
      <c r="N86" s="171">
        <f t="shared" si="2"/>
        <v>4626.4782605000009</v>
      </c>
      <c r="O86" s="171">
        <f t="shared" si="2"/>
        <v>4384.2851546000002</v>
      </c>
      <c r="P86" s="171">
        <f>SUM(D86:O86)</f>
        <v>56181.500925099994</v>
      </c>
      <c r="Q86" s="5"/>
    </row>
    <row r="87" spans="2:17" ht="18" customHeight="1" thickTop="1" thickBot="1">
      <c r="B87" s="261"/>
      <c r="C87" s="32" t="s">
        <v>40</v>
      </c>
      <c r="D87" s="35">
        <v>1.5362977814203304E-2</v>
      </c>
      <c r="E87" s="35">
        <v>3.5322585180844377E-3</v>
      </c>
      <c r="F87" s="35">
        <v>3.1922735733438783E-2</v>
      </c>
      <c r="G87" s="35">
        <v>1.3081953762676119E-2</v>
      </c>
      <c r="H87" s="35">
        <v>-4.2622472626195798E-2</v>
      </c>
      <c r="I87" s="35">
        <v>-4.4257164269600219E-2</v>
      </c>
      <c r="J87" s="35">
        <v>-1.9958288312820455E-2</v>
      </c>
      <c r="K87" s="35">
        <v>-7.0153433204056259E-2</v>
      </c>
      <c r="L87" s="35">
        <v>-1.2722136887270486E-2</v>
      </c>
      <c r="M87" s="35">
        <v>-1.7721184135219493E-2</v>
      </c>
      <c r="N87" s="35">
        <v>-6.2621813693286713E-3</v>
      </c>
      <c r="O87" s="35">
        <v>-6.4562233419533793E-3</v>
      </c>
      <c r="P87" s="35">
        <v>-1.3691352311409196E-2</v>
      </c>
      <c r="Q87" s="6"/>
    </row>
    <row r="88" spans="2:17" ht="13.5" thickTop="1">
      <c r="B88" s="28"/>
    </row>
    <row r="89" spans="2:17">
      <c r="B89" s="25" t="s">
        <v>19</v>
      </c>
      <c r="C89" s="25" t="s">
        <v>19</v>
      </c>
      <c r="D89" s="7">
        <f t="shared" ref="D89:O89" si="3">+D3+D13+D18+D23+D28+D33+D38+D43+D48+D53+D58+D63+D68+D73+D78+D8</f>
        <v>2259.0660157000002</v>
      </c>
      <c r="E89" s="7">
        <f t="shared" si="3"/>
        <v>2236.6868290000002</v>
      </c>
      <c r="F89" s="7">
        <f t="shared" si="3"/>
        <v>2488.8242783000005</v>
      </c>
      <c r="G89" s="7">
        <f t="shared" si="3"/>
        <v>2386.5274274000003</v>
      </c>
      <c r="H89" s="7">
        <f t="shared" si="3"/>
        <v>2503.3033372</v>
      </c>
      <c r="I89" s="7">
        <f t="shared" si="3"/>
        <v>2278.3296524000007</v>
      </c>
      <c r="J89" s="7">
        <f t="shared" si="3"/>
        <v>2321.7506585000001</v>
      </c>
      <c r="K89" s="7">
        <f t="shared" si="3"/>
        <v>2309.4304577000003</v>
      </c>
      <c r="L89" s="7">
        <f t="shared" si="3"/>
        <v>2327.7936346000001</v>
      </c>
      <c r="M89" s="7">
        <f t="shared" si="3"/>
        <v>2389.0741851000002</v>
      </c>
      <c r="N89" s="7">
        <f t="shared" si="3"/>
        <v>2302.7206125000002</v>
      </c>
      <c r="O89" s="7">
        <f t="shared" si="3"/>
        <v>2090.8268364999999</v>
      </c>
    </row>
    <row r="90" spans="2:17">
      <c r="B90" s="26" t="s">
        <v>12</v>
      </c>
      <c r="C90" s="26" t="s">
        <v>12</v>
      </c>
      <c r="D90" s="7">
        <f>+D4+D14+D19+D24+D29+D34+D39+D44+D49+D54+D59+D64+D69+D74+D79+D9</f>
        <v>2164.1345821</v>
      </c>
    </row>
    <row r="91" spans="2:17">
      <c r="B91" s="2" t="s">
        <v>18</v>
      </c>
      <c r="D91" s="7">
        <f>+D5+D15+D20+D25+D30+D35+D40+D45+D50+D55+D60+D65+D70+D75+D80+D10</f>
        <v>146.68707289999998</v>
      </c>
      <c r="J91" s="7"/>
    </row>
    <row r="92" spans="2:17">
      <c r="D92" s="7">
        <f>+D6+D16+D21+D26+D31+D36+D41+D46+D51+D56+D61+D66+D71+D76+D81+D11</f>
        <v>4569.8882530999999</v>
      </c>
      <c r="E92" s="7">
        <f t="shared" ref="E92:O92" si="4">+E6+E16+E21+E26+E31+E36+E41+E46+E51+E56+E61+E66+E71+E76+E81+E11</f>
        <v>4395.3045584000001</v>
      </c>
      <c r="F92" s="7">
        <f t="shared" si="4"/>
        <v>4961.1362720999987</v>
      </c>
      <c r="G92" s="7">
        <f t="shared" si="4"/>
        <v>4850.7440619000008</v>
      </c>
      <c r="H92" s="7">
        <f t="shared" si="4"/>
        <v>4824.2332881000002</v>
      </c>
      <c r="I92" s="7">
        <f t="shared" si="4"/>
        <v>4599.1662051000003</v>
      </c>
      <c r="J92" s="7">
        <f t="shared" si="4"/>
        <v>4704.7234344999997</v>
      </c>
      <c r="K92" s="7">
        <f t="shared" si="4"/>
        <v>4669.6930138999996</v>
      </c>
      <c r="L92" s="7">
        <f t="shared" si="4"/>
        <v>4732.8035150999995</v>
      </c>
      <c r="M92" s="7">
        <f t="shared" si="4"/>
        <v>4863.0453758999993</v>
      </c>
      <c r="N92" s="7">
        <f t="shared" si="4"/>
        <v>4626.4779111999997</v>
      </c>
      <c r="O92" s="7">
        <f t="shared" si="4"/>
        <v>4384.2860351999998</v>
      </c>
    </row>
  </sheetData>
  <mergeCells count="17">
    <mergeCell ref="B58:B6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1300-000000000000}"/>
  </hyperlinks>
  <pageMargins left="0.7" right="0.7" top="0.75" bottom="0.75" header="0.3" footer="0.3"/>
  <pageSetup paperSize="9" orientation="portrait" horizontalDpi="4294967293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V102"/>
  <sheetViews>
    <sheetView topLeftCell="B34" zoomScale="70" zoomScaleNormal="70" zoomScaleSheetLayoutView="90" workbookViewId="0">
      <selection activeCell="N53" sqref="N53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6384" width="11.42578125" style="2"/>
  </cols>
  <sheetData>
    <row r="1" spans="2:20" s="8" customFormat="1" ht="38.25" customHeight="1" thickBot="1">
      <c r="B1" s="22" t="s">
        <v>183</v>
      </c>
      <c r="P1" s="87" t="s">
        <v>111</v>
      </c>
    </row>
    <row r="2" spans="2:20" ht="30" customHeight="1" thickTop="1">
      <c r="B2" s="33" t="s">
        <v>36</v>
      </c>
      <c r="C2" s="21" t="s">
        <v>23</v>
      </c>
      <c r="D2" s="158" t="s">
        <v>27</v>
      </c>
      <c r="E2" s="158" t="s">
        <v>28</v>
      </c>
      <c r="F2" s="158" t="s">
        <v>26</v>
      </c>
      <c r="G2" s="158" t="s">
        <v>22</v>
      </c>
      <c r="H2" s="158" t="s">
        <v>29</v>
      </c>
      <c r="I2" s="158" t="s">
        <v>30</v>
      </c>
      <c r="J2" s="158" t="s">
        <v>31</v>
      </c>
      <c r="K2" s="158" t="s">
        <v>32</v>
      </c>
      <c r="L2" s="158" t="s">
        <v>33</v>
      </c>
      <c r="M2" s="158" t="s">
        <v>24</v>
      </c>
      <c r="N2" s="158" t="s">
        <v>34</v>
      </c>
      <c r="O2" s="158" t="s">
        <v>35</v>
      </c>
      <c r="P2" s="158" t="s">
        <v>25</v>
      </c>
    </row>
    <row r="3" spans="2:20" ht="18" customHeight="1" thickBot="1">
      <c r="B3" s="259" t="s">
        <v>0</v>
      </c>
      <c r="C3" s="29" t="s">
        <v>65</v>
      </c>
      <c r="D3" s="171">
        <v>33.496000000000002</v>
      </c>
      <c r="E3" s="171">
        <v>21.922999999999998</v>
      </c>
      <c r="F3" s="171">
        <v>23.632999999999999</v>
      </c>
      <c r="G3" s="171">
        <v>39.94</v>
      </c>
      <c r="H3" s="171">
        <v>25.207999999999998</v>
      </c>
      <c r="I3" s="171">
        <v>30.375</v>
      </c>
      <c r="J3" s="171">
        <v>23.431000000000001</v>
      </c>
      <c r="K3" s="171">
        <v>35.929000000000002</v>
      </c>
      <c r="L3" s="171">
        <v>17.524999999999999</v>
      </c>
      <c r="M3" s="171">
        <v>18.655000000000001</v>
      </c>
      <c r="N3" s="34">
        <v>16.411000000000001</v>
      </c>
      <c r="O3" s="34"/>
      <c r="P3" s="34">
        <f>+SUM(D3:O3)</f>
        <v>286.52600000000001</v>
      </c>
      <c r="R3" s="14"/>
      <c r="T3" s="7"/>
    </row>
    <row r="4" spans="2:20" ht="18" customHeight="1" thickTop="1" thickBot="1">
      <c r="B4" s="260"/>
      <c r="C4" s="29" t="s">
        <v>59</v>
      </c>
      <c r="D4" s="171">
        <v>39.204000000000001</v>
      </c>
      <c r="E4" s="171">
        <v>84.84</v>
      </c>
      <c r="F4" s="171">
        <v>36.898000000000003</v>
      </c>
      <c r="G4" s="171">
        <v>60.927</v>
      </c>
      <c r="H4" s="171">
        <v>83.596999999999994</v>
      </c>
      <c r="I4" s="171">
        <v>51.104999999999997</v>
      </c>
      <c r="J4" s="171">
        <v>50.764000000000003</v>
      </c>
      <c r="K4" s="171">
        <v>45.219000000000001</v>
      </c>
      <c r="L4" s="171">
        <v>50.929000000000002</v>
      </c>
      <c r="M4" s="171">
        <v>39.904000000000003</v>
      </c>
      <c r="N4" s="34">
        <v>22.074999999999999</v>
      </c>
      <c r="O4" s="34"/>
      <c r="P4" s="34">
        <f>+SUM(D4:O4)</f>
        <v>565.4620000000001</v>
      </c>
      <c r="R4" s="14"/>
      <c r="T4" s="7"/>
    </row>
    <row r="5" spans="2:20" ht="18" customHeight="1" thickTop="1" thickBot="1">
      <c r="B5" s="260"/>
      <c r="C5" s="29" t="s">
        <v>60</v>
      </c>
      <c r="D5" s="171">
        <v>1.7949999999999999</v>
      </c>
      <c r="E5" s="171">
        <v>1.8979999999999999</v>
      </c>
      <c r="F5" s="171">
        <v>2.214</v>
      </c>
      <c r="G5" s="171">
        <v>3.5449999999999999</v>
      </c>
      <c r="H5" s="171">
        <v>2.294</v>
      </c>
      <c r="I5" s="171">
        <v>2.7429999999999999</v>
      </c>
      <c r="J5" s="171">
        <v>3.6509999999999998</v>
      </c>
      <c r="K5" s="171">
        <v>4.4749999999999996</v>
      </c>
      <c r="L5" s="171">
        <v>2.8879999999999999</v>
      </c>
      <c r="M5" s="171">
        <v>3.883</v>
      </c>
      <c r="N5" s="34">
        <v>4.8369999999999997</v>
      </c>
      <c r="O5" s="34"/>
      <c r="P5" s="34">
        <f>+SUM(D5:O5)</f>
        <v>34.222999999999999</v>
      </c>
      <c r="R5" s="14"/>
      <c r="T5" s="7"/>
    </row>
    <row r="6" spans="2:20" ht="18" customHeight="1" thickTop="1" thickBot="1">
      <c r="B6" s="260"/>
      <c r="C6" s="29" t="s">
        <v>139</v>
      </c>
      <c r="D6" s="52">
        <f>+D3+D4+D5</f>
        <v>74.495000000000005</v>
      </c>
      <c r="E6" s="52">
        <f t="shared" ref="E6:O6" si="0">+E3+E4+E5</f>
        <v>108.661</v>
      </c>
      <c r="F6" s="52">
        <f>+F3+F4+F5</f>
        <v>62.745000000000005</v>
      </c>
      <c r="G6" s="52">
        <f t="shared" si="0"/>
        <v>104.41199999999999</v>
      </c>
      <c r="H6" s="52">
        <f t="shared" si="0"/>
        <v>111.09899999999999</v>
      </c>
      <c r="I6" s="52">
        <f t="shared" si="0"/>
        <v>84.222999999999985</v>
      </c>
      <c r="J6" s="52">
        <f t="shared" si="0"/>
        <v>77.846000000000004</v>
      </c>
      <c r="K6" s="52">
        <f t="shared" si="0"/>
        <v>85.62299999999999</v>
      </c>
      <c r="L6" s="52">
        <f t="shared" si="0"/>
        <v>71.342000000000013</v>
      </c>
      <c r="M6" s="52">
        <f t="shared" si="0"/>
        <v>62.442000000000007</v>
      </c>
      <c r="N6" s="52">
        <f t="shared" si="0"/>
        <v>43.323000000000008</v>
      </c>
      <c r="O6" s="52">
        <f t="shared" si="0"/>
        <v>0</v>
      </c>
      <c r="P6" s="34">
        <f>+P3+P4+P5</f>
        <v>886.21100000000001</v>
      </c>
      <c r="R6" s="46"/>
    </row>
    <row r="7" spans="2:20" ht="18" customHeight="1" thickTop="1" thickBot="1">
      <c r="B7" s="260"/>
      <c r="C7" s="32" t="s">
        <v>179</v>
      </c>
      <c r="D7" s="35">
        <f>+(D6-'Impo 2017'!D6)/'Impo 2017'!D6</f>
        <v>0.2837963638647234</v>
      </c>
      <c r="E7" s="35">
        <f>+(E6-'Impo 2017'!E6)/'Impo 2017'!E6</f>
        <v>1.1033549208809206</v>
      </c>
      <c r="F7" s="35">
        <f>+(F6-'Impo 2017'!F6)/'Impo 2017'!F6</f>
        <v>-0.24667731207453378</v>
      </c>
      <c r="G7" s="35">
        <f>+(G6-'Impo 2017'!G6)/'Impo 2017'!G6</f>
        <v>8.7477737389728333E-2</v>
      </c>
      <c r="H7" s="35">
        <f>+(H6-'Impo 2017'!H6)/'Impo 2017'!H6</f>
        <v>0.39213081887099782</v>
      </c>
      <c r="I7" s="35">
        <f>+(I6-'Impo 2017'!I6)/'Impo 2017'!I6</f>
        <v>-5.2236538569740885E-2</v>
      </c>
      <c r="J7" s="35">
        <f>+(J6-'Impo 2017'!J6)/'Impo 2017'!J6</f>
        <v>0.36763879128601551</v>
      </c>
      <c r="K7" s="35">
        <f>+(K6-'Impo 2017'!K6)/'Impo 2017'!K6</f>
        <v>-0.26971495829282016</v>
      </c>
      <c r="L7" s="35">
        <f>+(L6-'Impo 2017'!L6)/'Impo 2017'!L6</f>
        <v>-0.18979803755370456</v>
      </c>
      <c r="M7" s="35">
        <f>+(M6-'Impo 2017'!M6)/'Impo 2017'!M6</f>
        <v>-0.52852612503775287</v>
      </c>
      <c r="N7" s="35">
        <f>+(N6-'Impo 2017'!N6)/'Impo 2017'!N6</f>
        <v>-0.48195573056001806</v>
      </c>
      <c r="O7" s="35">
        <f>+(O6-'Impo 2017'!O6)/'Impo 2017'!O6</f>
        <v>-1</v>
      </c>
      <c r="P7" s="139">
        <f ca="1">(P6-SUM('Impo 2017'!$D6:OFFSET('Impo 2017'!$D6,0,Índice!$Y$5)))/SUM('Impo 2017'!$D6:OFFSET('Impo 2017'!$D6,0,Índice!$Y$5))</f>
        <v>-5.314329452089335E-2</v>
      </c>
      <c r="Q7" s="35"/>
      <c r="R7" s="14"/>
    </row>
    <row r="8" spans="2:20" ht="18" customHeight="1" thickTop="1" thickBot="1">
      <c r="B8" s="260" t="s">
        <v>77</v>
      </c>
      <c r="C8" s="29" t="s">
        <v>65</v>
      </c>
      <c r="D8" s="171">
        <v>33.405947469999994</v>
      </c>
      <c r="E8" s="171">
        <v>25.769717570000005</v>
      </c>
      <c r="F8" s="171">
        <v>30.391078509999993</v>
      </c>
      <c r="G8" s="171">
        <v>34.447587449999993</v>
      </c>
      <c r="H8" s="171">
        <v>34.691805760000008</v>
      </c>
      <c r="I8" s="171">
        <v>34.179364060000012</v>
      </c>
      <c r="J8" s="171">
        <v>39.625493179999985</v>
      </c>
      <c r="K8" s="170">
        <v>36</v>
      </c>
      <c r="L8" s="170">
        <v>35</v>
      </c>
      <c r="M8" s="170">
        <v>33</v>
      </c>
      <c r="N8" s="170">
        <v>30</v>
      </c>
      <c r="O8" s="30"/>
      <c r="P8" s="34">
        <f>+SUM(D8:O8)</f>
        <v>366.51099399999998</v>
      </c>
      <c r="R8" s="14"/>
    </row>
    <row r="9" spans="2:20" ht="18" customHeight="1" thickTop="1" thickBot="1">
      <c r="B9" s="260"/>
      <c r="C9" s="29" t="s">
        <v>59</v>
      </c>
      <c r="D9" s="171">
        <v>7.9218805500000009</v>
      </c>
      <c r="E9" s="171">
        <v>10.59440742</v>
      </c>
      <c r="F9" s="171">
        <v>13.068046749999999</v>
      </c>
      <c r="G9" s="171">
        <v>11.276849899999998</v>
      </c>
      <c r="H9" s="171">
        <v>15.713462960000003</v>
      </c>
      <c r="I9" s="171">
        <v>22.328358200000004</v>
      </c>
      <c r="J9" s="171">
        <v>13.648198630000003</v>
      </c>
      <c r="K9" s="170">
        <v>14</v>
      </c>
      <c r="L9" s="170">
        <v>15</v>
      </c>
      <c r="M9" s="170">
        <v>14</v>
      </c>
      <c r="N9" s="170">
        <v>12</v>
      </c>
      <c r="O9" s="30"/>
      <c r="P9" s="34">
        <f>+SUM(D9:O9)</f>
        <v>149.55120441</v>
      </c>
      <c r="R9" s="14"/>
    </row>
    <row r="10" spans="2:20" ht="18" customHeight="1" thickTop="1" thickBot="1">
      <c r="B10" s="260"/>
      <c r="C10" s="29" t="s">
        <v>60</v>
      </c>
      <c r="D10" s="171">
        <v>0.88574280000000005</v>
      </c>
      <c r="E10" s="171">
        <v>1.0793232300000002</v>
      </c>
      <c r="F10" s="171">
        <v>0.80211898999999931</v>
      </c>
      <c r="G10" s="171">
        <v>0.20883880999999999</v>
      </c>
      <c r="H10" s="171">
        <v>1.4347117300000001</v>
      </c>
      <c r="I10" s="171">
        <v>0.30820926000000015</v>
      </c>
      <c r="J10" s="171">
        <v>0.46434535000000005</v>
      </c>
      <c r="K10" s="170">
        <v>1</v>
      </c>
      <c r="L10" s="170">
        <v>1</v>
      </c>
      <c r="M10" s="170">
        <v>1</v>
      </c>
      <c r="N10" s="170">
        <v>1</v>
      </c>
      <c r="O10" s="30"/>
      <c r="P10" s="34">
        <f>+SUM(D10:O10)</f>
        <v>9.1832901699999994</v>
      </c>
      <c r="R10" s="14"/>
    </row>
    <row r="11" spans="2:20" ht="18" customHeight="1" thickTop="1" thickBot="1">
      <c r="B11" s="260"/>
      <c r="C11" s="29" t="s">
        <v>139</v>
      </c>
      <c r="D11" s="52">
        <f t="shared" ref="D11:P11" si="1">+D8+D9+D10</f>
        <v>42.213570820000001</v>
      </c>
      <c r="E11" s="52">
        <f t="shared" si="1"/>
        <v>37.443448220000008</v>
      </c>
      <c r="F11" s="52">
        <f t="shared" si="1"/>
        <v>44.26124424999999</v>
      </c>
      <c r="G11" s="52">
        <f t="shared" si="1"/>
        <v>45.933276159999991</v>
      </c>
      <c r="H11" s="52">
        <f t="shared" si="1"/>
        <v>51.839980450000013</v>
      </c>
      <c r="I11" s="52">
        <f t="shared" si="1"/>
        <v>56.815931520000014</v>
      </c>
      <c r="J11" s="52">
        <f t="shared" si="1"/>
        <v>53.73803715999999</v>
      </c>
      <c r="K11" s="53">
        <f t="shared" si="1"/>
        <v>51</v>
      </c>
      <c r="L11" s="53">
        <f t="shared" si="1"/>
        <v>51</v>
      </c>
      <c r="M11" s="53">
        <f t="shared" si="1"/>
        <v>48</v>
      </c>
      <c r="N11" s="53">
        <f t="shared" si="1"/>
        <v>43</v>
      </c>
      <c r="O11" s="53">
        <f t="shared" si="1"/>
        <v>0</v>
      </c>
      <c r="P11" s="34">
        <f t="shared" si="1"/>
        <v>525.24548857999991</v>
      </c>
      <c r="R11" s="46"/>
    </row>
    <row r="12" spans="2:20" ht="18" customHeight="1" thickTop="1" thickBot="1">
      <c r="B12" s="260"/>
      <c r="C12" s="32" t="s">
        <v>179</v>
      </c>
      <c r="D12" s="35">
        <f>+(D11-'Impo 2017'!D11)/'Impo 2017'!D11</f>
        <v>-0.22830684029798867</v>
      </c>
      <c r="E12" s="35">
        <f>+(E11-'Impo 2017'!E11)/'Impo 2017'!E11</f>
        <v>-3.9655107008173325E-2</v>
      </c>
      <c r="F12" s="35">
        <f>+(F11-'Impo 2017'!F11)/'Impo 2017'!F11</f>
        <v>-0.23379596236973835</v>
      </c>
      <c r="G12" s="35">
        <f>+(G11-'Impo 2017'!G11)/'Impo 2017'!G11</f>
        <v>7.8596533509502312E-2</v>
      </c>
      <c r="H12" s="35">
        <f>+(H11-'Impo 2017'!H11)/'Impo 2017'!H11</f>
        <v>2.8442707961305394E-2</v>
      </c>
      <c r="I12" s="35">
        <f>+(I11-'Impo 2017'!I11)/'Impo 2017'!I11</f>
        <v>1.0061123976741015</v>
      </c>
      <c r="J12" s="35">
        <f>+(J11-'Impo 2017'!J11)/'Impo 2017'!J11</f>
        <v>0.6674143085830182</v>
      </c>
      <c r="K12" s="172">
        <f>+(K11-'Impo 2017'!K11)/'Impo 2017'!K11</f>
        <v>-4.3692242059651248E-2</v>
      </c>
      <c r="L12" s="172">
        <f>+(L11-'Impo 2017'!L11)/'Impo 2017'!L11</f>
        <v>0.53722349946221137</v>
      </c>
      <c r="M12" s="172">
        <f>+(M11-'Impo 2017'!M11)/'Impo 2017'!M11</f>
        <v>-0.13901476346559952</v>
      </c>
      <c r="N12" s="172">
        <f>+(N11-'Impo 2017'!N11)/'Impo 2017'!N11</f>
        <v>8.1223419013309747E-2</v>
      </c>
      <c r="O12" s="35">
        <f>+(O11-'Impo 2017'!O11)/'Impo 2017'!O11</f>
        <v>-1</v>
      </c>
      <c r="P12" s="139">
        <f ca="1">(P11-SUM('Impo 2017'!$D11:OFFSET('Impo 2017'!$D11,0,Índice!$Y$5)))/SUM('Impo 2017'!$D11:OFFSET('Impo 2017'!$D11,0,Índice!$Y$5))</f>
        <v>7.8471025733352684E-2</v>
      </c>
      <c r="R12" s="14"/>
    </row>
    <row r="13" spans="2:20" ht="18" customHeight="1" thickTop="1" thickBot="1">
      <c r="B13" s="260" t="s">
        <v>42</v>
      </c>
      <c r="C13" s="29" t="s">
        <v>65</v>
      </c>
      <c r="D13" s="34">
        <v>46.087000000000003</v>
      </c>
      <c r="E13" s="34">
        <v>43.798999999999999</v>
      </c>
      <c r="F13" s="34">
        <v>44.1</v>
      </c>
      <c r="G13" s="34">
        <v>26.917000000000002</v>
      </c>
      <c r="H13" s="34">
        <v>44.561</v>
      </c>
      <c r="I13" s="34">
        <v>53.176000000000002</v>
      </c>
      <c r="J13" s="34">
        <v>48.429000000000002</v>
      </c>
      <c r="K13" s="34">
        <v>27.876999999999999</v>
      </c>
      <c r="L13" s="34">
        <v>32.277000000000001</v>
      </c>
      <c r="M13" s="34">
        <v>25.878</v>
      </c>
      <c r="N13" s="34">
        <f>34.608</f>
        <v>34.607999999999997</v>
      </c>
      <c r="O13" s="34"/>
      <c r="P13" s="34">
        <f>+SUM(D13:O13)</f>
        <v>427.70899999999995</v>
      </c>
      <c r="R13" s="14"/>
    </row>
    <row r="14" spans="2:20" ht="18" customHeight="1" thickTop="1" thickBot="1">
      <c r="B14" s="260"/>
      <c r="C14" s="29" t="s">
        <v>59</v>
      </c>
      <c r="D14" s="34">
        <f>137.092+5.999</f>
        <v>143.09100000000001</v>
      </c>
      <c r="E14" s="34">
        <f>77.163+5.123</f>
        <v>82.286000000000001</v>
      </c>
      <c r="F14" s="34">
        <f>138.662+6.881</f>
        <v>145.54300000000001</v>
      </c>
      <c r="G14" s="34">
        <f>141.293+5.945</f>
        <v>147.238</v>
      </c>
      <c r="H14" s="34">
        <f>128.255+4.717</f>
        <v>132.97200000000001</v>
      </c>
      <c r="I14" s="34">
        <f>145.623+6.414</f>
        <v>152.03699999999998</v>
      </c>
      <c r="J14" s="34">
        <f>128.436+6.745</f>
        <v>135.18100000000001</v>
      </c>
      <c r="K14" s="34">
        <f>123.376+6.796</f>
        <v>130.172</v>
      </c>
      <c r="L14" s="171">
        <f>129.623+5.916</f>
        <v>135.53899999999999</v>
      </c>
      <c r="M14" s="34">
        <f>67.152+7.066</f>
        <v>74.218000000000004</v>
      </c>
      <c r="N14" s="34">
        <f>108.924+6.599</f>
        <v>115.52300000000001</v>
      </c>
      <c r="O14" s="34"/>
      <c r="P14" s="34">
        <f>+SUM(D14:O14)</f>
        <v>1393.8</v>
      </c>
      <c r="R14" s="14"/>
    </row>
    <row r="15" spans="2:20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+SUM(D15:O15)</f>
        <v>0</v>
      </c>
      <c r="R15" s="14"/>
    </row>
    <row r="16" spans="2:20" ht="18" customHeight="1" thickTop="1" thickBot="1">
      <c r="B16" s="260"/>
      <c r="C16" s="29" t="s">
        <v>139</v>
      </c>
      <c r="D16" s="52">
        <f>+D13+D14+D15</f>
        <v>189.178</v>
      </c>
      <c r="E16" s="52">
        <f>+E13+E14+E15</f>
        <v>126.08500000000001</v>
      </c>
      <c r="F16" s="52">
        <f t="shared" ref="F16:P16" si="2">+F13+F14+F15</f>
        <v>189.643</v>
      </c>
      <c r="G16" s="52">
        <f t="shared" si="2"/>
        <v>174.155</v>
      </c>
      <c r="H16" s="52">
        <f t="shared" si="2"/>
        <v>177.53300000000002</v>
      </c>
      <c r="I16" s="52">
        <f t="shared" si="2"/>
        <v>205.21299999999997</v>
      </c>
      <c r="J16" s="52">
        <f t="shared" si="2"/>
        <v>183.61</v>
      </c>
      <c r="K16" s="52">
        <f t="shared" si="2"/>
        <v>158.04900000000001</v>
      </c>
      <c r="L16" s="52">
        <f t="shared" si="2"/>
        <v>167.81599999999997</v>
      </c>
      <c r="M16" s="52">
        <f t="shared" si="2"/>
        <v>100.096</v>
      </c>
      <c r="N16" s="52">
        <f t="shared" si="2"/>
        <v>150.131</v>
      </c>
      <c r="O16" s="52">
        <f t="shared" si="2"/>
        <v>0</v>
      </c>
      <c r="P16" s="34">
        <f t="shared" si="2"/>
        <v>1821.509</v>
      </c>
      <c r="R16" s="46"/>
    </row>
    <row r="17" spans="2:19" ht="18" customHeight="1" thickTop="1" thickBot="1">
      <c r="B17" s="260"/>
      <c r="C17" s="32" t="s">
        <v>179</v>
      </c>
      <c r="D17" s="35">
        <f>+(D16-'Impo 2017'!D16)/'Impo 2017'!D16</f>
        <v>1.2066684308018453E-3</v>
      </c>
      <c r="E17" s="35">
        <f>+(E16-'Impo 2017'!E16)/'Impo 2017'!E16</f>
        <v>-0.13690659547523684</v>
      </c>
      <c r="F17" s="35">
        <f>+(F16-'Impo 2017'!F16)/'Impo 2017'!F16</f>
        <v>-0.1013117115750964</v>
      </c>
      <c r="G17" s="35">
        <f>+(G16-'Impo 2017'!G16)/'Impo 2017'!G16</f>
        <v>0.30397508180028016</v>
      </c>
      <c r="H17" s="35">
        <f>+(H16-'Impo 2017'!H16)/'Impo 2017'!H16</f>
        <v>-3.8990776026329478E-2</v>
      </c>
      <c r="I17" s="35">
        <f>+(I16-'Impo 2017'!I16)/'Impo 2017'!I16</f>
        <v>0.30738062625426027</v>
      </c>
      <c r="J17" s="35">
        <f>+(J16-'Impo 2017'!J16)/'Impo 2017'!J16</f>
        <v>1.0689829799414356E-2</v>
      </c>
      <c r="K17" s="35">
        <f>+(K16-'Impo 2017'!K16)/'Impo 2017'!K16</f>
        <v>-4.314212199182671E-2</v>
      </c>
      <c r="L17" s="35">
        <f>+(L16-'Impo 2017'!L16)/'Impo 2017'!L16</f>
        <v>-0.14533518713745147</v>
      </c>
      <c r="M17" s="35">
        <f>+(M16-'Impo 2017'!M16)/'Impo 2017'!M16</f>
        <v>-0.38377053923771642</v>
      </c>
      <c r="N17" s="35">
        <f>+(N16-'Impo 2017'!N16)/'Impo 2017'!N16</f>
        <v>5.0491550921876703E-2</v>
      </c>
      <c r="O17" s="35">
        <f>+(O16-'Impo 2017'!O16)/'Impo 2017'!O16</f>
        <v>-1</v>
      </c>
      <c r="P17" s="139">
        <f ca="1">(P16-SUM('Impo 2017'!$D16:OFFSET('Impo 2017'!$D16,0,Índice!$Y$5)))/SUM('Impo 2017'!$D16:OFFSET('Impo 2017'!$D16,0,Índice!$Y$5))</f>
        <v>-2.5857564661292715E-2</v>
      </c>
      <c r="R17" s="14"/>
    </row>
    <row r="18" spans="2:19" ht="18" customHeight="1" thickTop="1" thickBot="1">
      <c r="B18" s="260" t="s">
        <v>1</v>
      </c>
      <c r="C18" s="29" t="s">
        <v>65</v>
      </c>
      <c r="D18" s="171">
        <v>34.514493259999988</v>
      </c>
      <c r="E18" s="171">
        <v>30.360816920000001</v>
      </c>
      <c r="F18" s="171">
        <v>32.105242359999998</v>
      </c>
      <c r="G18" s="171">
        <v>30.210826960000002</v>
      </c>
      <c r="H18" s="171">
        <v>45.675447829999996</v>
      </c>
      <c r="I18" s="171">
        <v>31.043272720000022</v>
      </c>
      <c r="J18" s="171">
        <v>31.790846179999999</v>
      </c>
      <c r="K18" s="171">
        <v>56.373245459999985</v>
      </c>
      <c r="L18" s="34">
        <v>35.885910029999977</v>
      </c>
      <c r="M18" s="34">
        <v>37.504971219999995</v>
      </c>
      <c r="N18" s="34">
        <v>25.754271410000001</v>
      </c>
      <c r="O18" s="34"/>
      <c r="P18" s="34">
        <f>+SUM(D18:O18)</f>
        <v>391.21934434999997</v>
      </c>
      <c r="R18" s="68"/>
    </row>
    <row r="19" spans="2:19" ht="18" customHeight="1" thickTop="1" thickBot="1">
      <c r="B19" s="260"/>
      <c r="C19" s="29" t="s">
        <v>59</v>
      </c>
      <c r="D19" s="171">
        <v>112.10308067</v>
      </c>
      <c r="E19" s="171">
        <v>107.44302458</v>
      </c>
      <c r="F19" s="171">
        <v>98.456620720000046</v>
      </c>
      <c r="G19" s="171">
        <v>120.2680148</v>
      </c>
      <c r="H19" s="171">
        <v>122.03584063000004</v>
      </c>
      <c r="I19" s="171">
        <v>120.81827672999999</v>
      </c>
      <c r="J19" s="171">
        <v>33.158181990000003</v>
      </c>
      <c r="K19" s="171">
        <v>159.69919678999997</v>
      </c>
      <c r="L19" s="171">
        <v>84.444330899999997</v>
      </c>
      <c r="M19" s="34">
        <v>120.35943379999998</v>
      </c>
      <c r="N19" s="34">
        <v>96.865945559999972</v>
      </c>
      <c r="O19" s="34"/>
      <c r="P19" s="34">
        <f>+SUM(D19:O19)</f>
        <v>1175.6519471699999</v>
      </c>
      <c r="R19" s="68"/>
    </row>
    <row r="20" spans="2:19" ht="18" customHeight="1" thickTop="1" thickBot="1">
      <c r="B20" s="260"/>
      <c r="C20" s="29" t="s">
        <v>60</v>
      </c>
      <c r="D20" s="171">
        <v>2.7532999599999997</v>
      </c>
      <c r="E20" s="171">
        <v>1.7207762600000001</v>
      </c>
      <c r="F20" s="171">
        <v>2.0852850300000005</v>
      </c>
      <c r="G20" s="171">
        <v>1.4203288499999995</v>
      </c>
      <c r="H20" s="171">
        <v>2.3232810899999996</v>
      </c>
      <c r="I20" s="171">
        <v>4.0262066999999977</v>
      </c>
      <c r="J20" s="171">
        <v>1.1471764000000004</v>
      </c>
      <c r="K20" s="171">
        <v>3.3588906499999993</v>
      </c>
      <c r="L20" s="171">
        <v>2.0766064900000001</v>
      </c>
      <c r="M20" s="34">
        <v>2.417051910000001</v>
      </c>
      <c r="N20" s="34">
        <v>2.5513951499999998</v>
      </c>
      <c r="O20" s="34"/>
      <c r="P20" s="34">
        <f>+SUM(D20:O20)</f>
        <v>25.880298489999998</v>
      </c>
      <c r="R20" s="68"/>
    </row>
    <row r="21" spans="2:19" ht="18" customHeight="1" thickTop="1" thickBot="1">
      <c r="B21" s="260"/>
      <c r="C21" s="29" t="s">
        <v>139</v>
      </c>
      <c r="D21" s="52">
        <f t="shared" ref="D21:P21" si="3">+D18+D19+D20</f>
        <v>149.37087388999998</v>
      </c>
      <c r="E21" s="52">
        <f t="shared" si="3"/>
        <v>139.52461776000001</v>
      </c>
      <c r="F21" s="52">
        <f t="shared" si="3"/>
        <v>132.64714811000005</v>
      </c>
      <c r="G21" s="52">
        <f t="shared" si="3"/>
        <v>151.89917061</v>
      </c>
      <c r="H21" s="52">
        <f t="shared" si="3"/>
        <v>170.03456955000004</v>
      </c>
      <c r="I21" s="52">
        <f t="shared" si="3"/>
        <v>155.88775615</v>
      </c>
      <c r="J21" s="52">
        <f t="shared" si="3"/>
        <v>66.096204570000012</v>
      </c>
      <c r="K21" s="52">
        <f t="shared" si="3"/>
        <v>219.43133289999997</v>
      </c>
      <c r="L21" s="52">
        <f t="shared" si="3"/>
        <v>122.40684741999998</v>
      </c>
      <c r="M21" s="52">
        <f t="shared" si="3"/>
        <v>160.28145692999996</v>
      </c>
      <c r="N21" s="52">
        <f t="shared" si="3"/>
        <v>125.17161211999998</v>
      </c>
      <c r="O21" s="52">
        <f t="shared" si="3"/>
        <v>0</v>
      </c>
      <c r="P21" s="34">
        <f t="shared" si="3"/>
        <v>1592.75159001</v>
      </c>
      <c r="R21" s="57"/>
      <c r="S21" s="67"/>
    </row>
    <row r="22" spans="2:19" ht="18" customHeight="1" thickTop="1" thickBot="1">
      <c r="B22" s="260"/>
      <c r="C22" s="32" t="s">
        <v>179</v>
      </c>
      <c r="D22" s="35">
        <f>+(D21-'Impo 2017'!D21)/'Impo 2017'!D21</f>
        <v>-8.8286084011146168E-2</v>
      </c>
      <c r="E22" s="35">
        <f>+(E21-'Impo 2017'!E21)/'Impo 2017'!E21</f>
        <v>0.43140022203243489</v>
      </c>
      <c r="F22" s="35">
        <f>+(F21-'Impo 2017'!F21)/'Impo 2017'!F21</f>
        <v>-0.31623551767887548</v>
      </c>
      <c r="G22" s="35">
        <f>+(G21-'Impo 2017'!G21)/'Impo 2017'!G21</f>
        <v>0.22770634645866844</v>
      </c>
      <c r="H22" s="35">
        <f>+(H21-'Impo 2017'!H21)/'Impo 2017'!H21</f>
        <v>-2.0148743318651643E-2</v>
      </c>
      <c r="I22" s="35">
        <f>+(I21-'Impo 2017'!I21)/'Impo 2017'!I21</f>
        <v>0.12534561810315337</v>
      </c>
      <c r="J22" s="35">
        <f>+(J21-'Impo 2017'!J21)/'Impo 2017'!J21</f>
        <v>-0.44610744894302001</v>
      </c>
      <c r="K22" s="35">
        <f>+(K21-'Impo 2017'!K21)/'Impo 2017'!K21</f>
        <v>0.61833957355224856</v>
      </c>
      <c r="L22" s="35">
        <f>+(L21-'Impo 2017'!L21)/'Impo 2017'!L21</f>
        <v>-0.20602921846590871</v>
      </c>
      <c r="M22" s="35">
        <f>+(M21-'Impo 2017'!M21)/'Impo 2017'!M21</f>
        <v>0.28606247192780732</v>
      </c>
      <c r="N22" s="35">
        <f>+(N21-'Impo 2017'!N21)/'Impo 2017'!N21</f>
        <v>-0.19100585525939676</v>
      </c>
      <c r="O22" s="35">
        <f>+(O21-'Impo 2017'!O21)/'Impo 2017'!O21</f>
        <v>-1</v>
      </c>
      <c r="P22" s="139">
        <f ca="1">(P21-SUM('Impo 2017'!$D21:OFFSET('Impo 2017'!$D21,0,Índice!$Y$5)))/SUM('Impo 2017'!$D21:OFFSET('Impo 2017'!$D21,0,Índice!$Y$5))</f>
        <v>8.3693014975592984E-3</v>
      </c>
      <c r="R22" s="14"/>
    </row>
    <row r="23" spans="2:19" ht="18" customHeight="1" thickTop="1" thickBot="1">
      <c r="B23" s="260" t="s">
        <v>2</v>
      </c>
      <c r="C23" s="29" t="s">
        <v>65</v>
      </c>
      <c r="D23" s="171">
        <v>61.452302190000012</v>
      </c>
      <c r="E23" s="171">
        <v>97.57142377000001</v>
      </c>
      <c r="F23" s="171">
        <v>40.934653820000001</v>
      </c>
      <c r="G23" s="171">
        <v>99.033401040000001</v>
      </c>
      <c r="H23" s="171">
        <v>118.20152507</v>
      </c>
      <c r="I23" s="34">
        <v>93.569510490000013</v>
      </c>
      <c r="J23" s="171">
        <v>96.487808210000011</v>
      </c>
      <c r="K23" s="34">
        <v>101.71015572999998</v>
      </c>
      <c r="L23" s="171">
        <v>78.137007980000021</v>
      </c>
      <c r="M23" s="34">
        <v>74.941000000000003</v>
      </c>
      <c r="N23" s="171">
        <v>39</v>
      </c>
      <c r="O23" s="34"/>
      <c r="P23" s="34">
        <f>+SUM(D23:O23)</f>
        <v>901.03878830000008</v>
      </c>
      <c r="R23" s="68"/>
    </row>
    <row r="24" spans="2:19" ht="18" customHeight="1" thickTop="1" thickBot="1">
      <c r="B24" s="260"/>
      <c r="C24" s="29" t="s">
        <v>59</v>
      </c>
      <c r="D24" s="171">
        <v>114.6734166</v>
      </c>
      <c r="E24" s="171">
        <v>72.288377509999989</v>
      </c>
      <c r="F24" s="171">
        <v>118.23095271000001</v>
      </c>
      <c r="G24" s="171">
        <v>102.61101532000001</v>
      </c>
      <c r="H24" s="171">
        <v>134.90354841999999</v>
      </c>
      <c r="I24" s="34">
        <v>107.31103449000004</v>
      </c>
      <c r="J24" s="171">
        <v>112.44137986999998</v>
      </c>
      <c r="K24" s="171">
        <v>116.86194529999996</v>
      </c>
      <c r="L24" s="171">
        <v>94.855118959999999</v>
      </c>
      <c r="M24" s="34">
        <v>119.91928280000002</v>
      </c>
      <c r="N24" s="171">
        <v>72.437012059999986</v>
      </c>
      <c r="O24" s="34"/>
      <c r="P24" s="34">
        <f>+SUM(D24:O24)</f>
        <v>1166.5330840399999</v>
      </c>
      <c r="R24" s="68"/>
    </row>
    <row r="25" spans="2:19" ht="18" customHeight="1" thickTop="1" thickBot="1">
      <c r="B25" s="260"/>
      <c r="C25" s="29" t="s">
        <v>60</v>
      </c>
      <c r="D25" s="171">
        <v>11.89182843</v>
      </c>
      <c r="E25" s="171">
        <v>20.800775929999993</v>
      </c>
      <c r="F25" s="171">
        <v>20.734729629999986</v>
      </c>
      <c r="G25" s="171">
        <v>19.032199669999994</v>
      </c>
      <c r="H25" s="171">
        <v>18.664999999999999</v>
      </c>
      <c r="I25" s="34">
        <v>13.016643239999999</v>
      </c>
      <c r="J25" s="171">
        <v>19.696842120000007</v>
      </c>
      <c r="K25" s="34">
        <v>10.390221050000005</v>
      </c>
      <c r="L25" s="171">
        <v>23.379108970000001</v>
      </c>
      <c r="M25" s="34">
        <v>25.667175490000009</v>
      </c>
      <c r="N25" s="171">
        <v>17.106686340000007</v>
      </c>
      <c r="O25" s="34"/>
      <c r="P25" s="34">
        <f>+SUM(D25:O25)</f>
        <v>200.38121086999999</v>
      </c>
      <c r="R25" s="68"/>
    </row>
    <row r="26" spans="2:19" ht="18" customHeight="1" thickTop="1" thickBot="1">
      <c r="B26" s="260"/>
      <c r="C26" s="29" t="s">
        <v>139</v>
      </c>
      <c r="D26" s="52">
        <f t="shared" ref="D26:P26" si="4">+D23+D24+D25</f>
        <v>188.01754722000001</v>
      </c>
      <c r="E26" s="52">
        <f t="shared" si="4"/>
        <v>190.66057720999999</v>
      </c>
      <c r="F26" s="52">
        <f t="shared" si="4"/>
        <v>179.90033615999999</v>
      </c>
      <c r="G26" s="52">
        <f t="shared" si="4"/>
        <v>220.67661602999999</v>
      </c>
      <c r="H26" s="52">
        <f t="shared" si="4"/>
        <v>271.77007349000002</v>
      </c>
      <c r="I26" s="52">
        <f t="shared" si="4"/>
        <v>213.89718822000006</v>
      </c>
      <c r="J26" s="52">
        <f t="shared" si="4"/>
        <v>228.6260302</v>
      </c>
      <c r="K26" s="52">
        <f t="shared" si="4"/>
        <v>228.96232207999995</v>
      </c>
      <c r="L26" s="52">
        <f t="shared" si="4"/>
        <v>196.37123591000002</v>
      </c>
      <c r="M26" s="52">
        <f t="shared" si="4"/>
        <v>220.52745829000003</v>
      </c>
      <c r="N26" s="52">
        <f t="shared" si="4"/>
        <v>128.54369839999998</v>
      </c>
      <c r="O26" s="52">
        <f t="shared" si="4"/>
        <v>0</v>
      </c>
      <c r="P26" s="34">
        <f t="shared" si="4"/>
        <v>2267.9530832099999</v>
      </c>
      <c r="R26" s="55"/>
      <c r="S26" s="61"/>
    </row>
    <row r="27" spans="2:19" ht="18" customHeight="1" thickTop="1" thickBot="1">
      <c r="B27" s="260"/>
      <c r="C27" s="32" t="s">
        <v>179</v>
      </c>
      <c r="D27" s="35">
        <f>+(D26-'Impo 2017'!D26)/'Impo 2017'!D26</f>
        <v>-0.11860765396592331</v>
      </c>
      <c r="E27" s="35">
        <f>+(E26-'Impo 2017'!E26)/'Impo 2017'!E26</f>
        <v>2.5365145838647327E-2</v>
      </c>
      <c r="F27" s="35">
        <f>+(F26-'Impo 2017'!F26)/'Impo 2017'!F26</f>
        <v>-0.25176925665261979</v>
      </c>
      <c r="G27" s="35">
        <f>+(G26-'Impo 2017'!G26)/'Impo 2017'!G26</f>
        <v>0.1486628532723093</v>
      </c>
      <c r="H27" s="35">
        <f>+(H26-'Impo 2017'!H26)/'Impo 2017'!H26</f>
        <v>0.69558567999310394</v>
      </c>
      <c r="I27" s="35">
        <f>+(I26-'Impo 2017'!I26)/'Impo 2017'!I26</f>
        <v>0.15364461116349096</v>
      </c>
      <c r="J27" s="35">
        <f>+(J26-'Impo 2017'!J26)/'Impo 2017'!J26</f>
        <v>0.10439968313024447</v>
      </c>
      <c r="K27" s="35">
        <f>+(K26-'Impo 2017'!K26)/'Impo 2017'!K26</f>
        <v>-1.8407255247435566E-2</v>
      </c>
      <c r="L27" s="35">
        <f>+(L26-'Impo 2017'!L26)/'Impo 2017'!L26</f>
        <v>-7.2407435334133153E-3</v>
      </c>
      <c r="M27" s="35">
        <f>+(M26-'Impo 2017'!M26)/'Impo 2017'!M26</f>
        <v>0.4451624756056804</v>
      </c>
      <c r="N27" s="35">
        <f>+(N26-'Impo 2017'!N26)/'Impo 2017'!N26</f>
        <v>0.20863941346111084</v>
      </c>
      <c r="O27" s="35">
        <f>+(O26-'Impo 2017'!O26)/'Impo 2017'!O26</f>
        <v>-1</v>
      </c>
      <c r="P27" s="139">
        <f ca="1">(P26-SUM('Impo 2017'!$D26:OFFSET('Impo 2017'!$D26,0,Índice!$Y$5)))/SUM('Impo 2017'!$D26:OFFSET('Impo 2017'!$D26,0,Índice!$Y$5))</f>
        <v>9.3237876151711599E-2</v>
      </c>
      <c r="R27" s="14"/>
    </row>
    <row r="28" spans="2:19" s="3" customFormat="1" ht="18" customHeight="1" thickTop="1" thickBot="1">
      <c r="B28" s="260" t="s">
        <v>5</v>
      </c>
      <c r="C28" s="29" t="s">
        <v>65</v>
      </c>
      <c r="D28" s="171">
        <v>4.10365</v>
      </c>
      <c r="E28" s="171">
        <v>21.215451000000002</v>
      </c>
      <c r="F28" s="171">
        <v>11.267289</v>
      </c>
      <c r="G28" s="171">
        <v>15.302497000000001</v>
      </c>
      <c r="H28" s="171">
        <v>30.746784000000002</v>
      </c>
      <c r="I28" s="171">
        <v>2.1642869999999998</v>
      </c>
      <c r="J28" s="171">
        <v>19.038108999999999</v>
      </c>
      <c r="K28" s="171">
        <v>25.079136999999999</v>
      </c>
      <c r="L28" s="171">
        <v>12.73183</v>
      </c>
      <c r="M28" s="170">
        <v>19</v>
      </c>
      <c r="N28" s="170">
        <v>16</v>
      </c>
      <c r="O28" s="34"/>
      <c r="P28" s="34">
        <f>+SUM(D28:O28)</f>
        <v>176.649034</v>
      </c>
      <c r="R28" s="68"/>
    </row>
    <row r="29" spans="2:19" s="3" customFormat="1" ht="18" customHeight="1" thickTop="1" thickBot="1">
      <c r="B29" s="260"/>
      <c r="C29" s="29" t="s">
        <v>59</v>
      </c>
      <c r="D29" s="171">
        <v>42.715645000000002</v>
      </c>
      <c r="E29" s="171">
        <v>22.960539000000001</v>
      </c>
      <c r="F29" s="171">
        <v>22.638393000000001</v>
      </c>
      <c r="G29" s="171">
        <v>36.840854</v>
      </c>
      <c r="H29" s="171">
        <v>31.81108</v>
      </c>
      <c r="I29" s="171">
        <v>8.7831340000000004</v>
      </c>
      <c r="J29" s="171">
        <v>20.932773000000001</v>
      </c>
      <c r="K29" s="171">
        <v>19.819362000000002</v>
      </c>
      <c r="L29" s="171">
        <v>25.000771</v>
      </c>
      <c r="M29" s="170">
        <v>22</v>
      </c>
      <c r="N29" s="170">
        <v>26</v>
      </c>
      <c r="O29" s="34"/>
      <c r="P29" s="34">
        <f>+SUM(D29:O29)</f>
        <v>279.50255100000004</v>
      </c>
      <c r="R29" s="68"/>
    </row>
    <row r="30" spans="2:19" s="3" customFormat="1" ht="18" customHeight="1" thickTop="1" thickBot="1">
      <c r="B30" s="260"/>
      <c r="C30" s="29" t="s">
        <v>60</v>
      </c>
      <c r="D30" s="171">
        <v>0.34679300000000002</v>
      </c>
      <c r="E30" s="171">
        <v>1.0264000000000001E-2</v>
      </c>
      <c r="F30" s="171">
        <v>0.121476</v>
      </c>
      <c r="G30" s="171">
        <v>0.12659799999999999</v>
      </c>
      <c r="H30" s="171">
        <v>0.12737499999999999</v>
      </c>
      <c r="I30" s="171">
        <v>0.18685599999999999</v>
      </c>
      <c r="J30" s="171">
        <v>8.1227999999999995E-2</v>
      </c>
      <c r="K30" s="171">
        <v>4.8369000000000002E-2</v>
      </c>
      <c r="L30" s="171">
        <v>0.159964</v>
      </c>
      <c r="M30" s="170">
        <v>0.1</v>
      </c>
      <c r="N30" s="170">
        <v>0.1</v>
      </c>
      <c r="O30" s="34"/>
      <c r="P30" s="34">
        <f>+SUM(D30:O30)</f>
        <v>1.4089230000000004</v>
      </c>
      <c r="R30" s="68"/>
    </row>
    <row r="31" spans="2:19" s="3" customFormat="1" ht="18" customHeight="1" thickTop="1" thickBot="1">
      <c r="B31" s="260"/>
      <c r="C31" s="29" t="s">
        <v>139</v>
      </c>
      <c r="D31" s="52">
        <f t="shared" ref="D31:P31" si="5">+D28+D29+D30</f>
        <v>47.166088000000002</v>
      </c>
      <c r="E31" s="52">
        <f t="shared" si="5"/>
        <v>44.186253999999998</v>
      </c>
      <c r="F31" s="52">
        <f t="shared" si="5"/>
        <v>34.027158</v>
      </c>
      <c r="G31" s="52">
        <f t="shared" si="5"/>
        <v>52.269949000000004</v>
      </c>
      <c r="H31" s="52">
        <f t="shared" si="5"/>
        <v>62.685239000000003</v>
      </c>
      <c r="I31" s="52">
        <f t="shared" si="5"/>
        <v>11.134277000000001</v>
      </c>
      <c r="J31" s="52">
        <f t="shared" si="5"/>
        <v>40.052110000000006</v>
      </c>
      <c r="K31" s="52">
        <f t="shared" si="5"/>
        <v>44.946868000000002</v>
      </c>
      <c r="L31" s="52">
        <f t="shared" si="5"/>
        <v>37.892565000000005</v>
      </c>
      <c r="M31" s="53">
        <f t="shared" si="5"/>
        <v>41.1</v>
      </c>
      <c r="N31" s="53">
        <f t="shared" si="5"/>
        <v>42.1</v>
      </c>
      <c r="O31" s="52">
        <f t="shared" si="5"/>
        <v>0</v>
      </c>
      <c r="P31" s="34">
        <f t="shared" si="5"/>
        <v>457.56050800000008</v>
      </c>
      <c r="R31" s="55"/>
      <c r="S31" s="61"/>
    </row>
    <row r="32" spans="2:19" s="3" customFormat="1" ht="18" customHeight="1" thickTop="1" thickBot="1">
      <c r="B32" s="260"/>
      <c r="C32" s="32" t="s">
        <v>179</v>
      </c>
      <c r="D32" s="35">
        <f>+(D31-'Impo 2017'!D31)/'Impo 2017'!D31</f>
        <v>-1.1954212045988736E-2</v>
      </c>
      <c r="E32" s="35">
        <f>+(E31-'Impo 2017'!E31)/'Impo 2017'!E31</f>
        <v>-0.165474892491174</v>
      </c>
      <c r="F32" s="35">
        <f>+(F31-'Impo 2017'!F31)/'Impo 2017'!F31</f>
        <v>-0.40640919172691237</v>
      </c>
      <c r="G32" s="35">
        <f>+(G31-'Impo 2017'!G31)/'Impo 2017'!G31</f>
        <v>0.12604995430767257</v>
      </c>
      <c r="H32" s="35">
        <f>+(H31-'Impo 2017'!H31)/'Impo 2017'!H31</f>
        <v>0.15889281232642979</v>
      </c>
      <c r="I32" s="35">
        <f>+(I31-'Impo 2017'!I31)/'Impo 2017'!I31</f>
        <v>-0.84550828833448677</v>
      </c>
      <c r="J32" s="35">
        <f>+(J31-'Impo 2017'!J31)/'Impo 2017'!J31</f>
        <v>0.28141078842592293</v>
      </c>
      <c r="K32" s="35">
        <f>+(K31-'Impo 2017'!K31)/'Impo 2017'!K31</f>
        <v>-9.923923466669167E-2</v>
      </c>
      <c r="L32" s="35">
        <f>+(L31-'Impo 2017'!L31)/'Impo 2017'!L31</f>
        <v>-0.29940125172421783</v>
      </c>
      <c r="M32" s="172">
        <f>+(M31-'Impo 2017'!M31)/'Impo 2017'!M31</f>
        <v>-0.23863138632763331</v>
      </c>
      <c r="N32" s="172">
        <f>+(N31-'Impo 2017'!N31)/'Impo 2017'!N31</f>
        <v>-0.22350147748893745</v>
      </c>
      <c r="O32" s="35">
        <f>+(O31-'Impo 2017'!O31)/'Impo 2017'!O31</f>
        <v>-1</v>
      </c>
      <c r="P32" s="139">
        <f ca="1">(P31-SUM('Impo 2017'!$D31:OFFSET('Impo 2017'!$D31,0,Índice!$Y$5)))/SUM('Impo 2017'!$D31:OFFSET('Impo 2017'!$D31,0,Índice!$Y$5))</f>
        <v>-0.20289675304072619</v>
      </c>
      <c r="R32" s="44"/>
    </row>
    <row r="33" spans="2:18" s="3" customFormat="1" ht="18" customHeight="1" thickTop="1" thickBot="1">
      <c r="B33" s="260" t="s">
        <v>4</v>
      </c>
      <c r="C33" s="29" t="s">
        <v>65</v>
      </c>
      <c r="D33" s="34">
        <v>7.8023829299999985</v>
      </c>
      <c r="E33" s="34">
        <v>21.832382749999997</v>
      </c>
      <c r="F33" s="34">
        <v>9.5657126299999984</v>
      </c>
      <c r="G33" s="34">
        <v>11.782654079999999</v>
      </c>
      <c r="H33" s="34">
        <v>15.039048889999998</v>
      </c>
      <c r="I33" s="34">
        <v>4.3424853100000078</v>
      </c>
      <c r="J33" s="34">
        <v>17.019229689999989</v>
      </c>
      <c r="K33" s="34">
        <v>17.043953560000002</v>
      </c>
      <c r="L33" s="34">
        <v>11.581579669999998</v>
      </c>
      <c r="M33" s="34">
        <v>22.501536120000004</v>
      </c>
      <c r="N33" s="34">
        <v>3.1452811000000005</v>
      </c>
      <c r="O33" s="34"/>
      <c r="P33" s="34">
        <f>+SUM(D33:O33)</f>
        <v>141.65624673000002</v>
      </c>
      <c r="R33" s="44"/>
    </row>
    <row r="34" spans="2:18" s="3" customFormat="1" ht="18" customHeight="1" thickTop="1" thickBot="1">
      <c r="B34" s="260"/>
      <c r="C34" s="29" t="s">
        <v>59</v>
      </c>
      <c r="D34" s="34">
        <v>85.547146879999971</v>
      </c>
      <c r="E34" s="34">
        <v>71.767902540000023</v>
      </c>
      <c r="F34" s="34">
        <v>68.301124490000049</v>
      </c>
      <c r="G34" s="34">
        <v>103.23169522000006</v>
      </c>
      <c r="H34" s="34">
        <v>75.702989929999973</v>
      </c>
      <c r="I34" s="34">
        <v>56.702311650000013</v>
      </c>
      <c r="J34" s="34">
        <v>65.823193320000016</v>
      </c>
      <c r="K34" s="34">
        <v>77.657632479999933</v>
      </c>
      <c r="L34" s="34">
        <v>41.448129950000016</v>
      </c>
      <c r="M34" s="34">
        <v>57.839285079999982</v>
      </c>
      <c r="N34" s="34">
        <v>70.279584789999973</v>
      </c>
      <c r="O34" s="34"/>
      <c r="P34" s="34">
        <f>+SUM(D34:O34)</f>
        <v>774.30099633000009</v>
      </c>
      <c r="R34" s="44"/>
    </row>
    <row r="35" spans="2:18" s="3" customFormat="1" ht="18" customHeight="1" thickTop="1" thickBot="1">
      <c r="B35" s="260"/>
      <c r="C35" s="29" t="s">
        <v>60</v>
      </c>
      <c r="D35" s="34">
        <v>3.805159189999999</v>
      </c>
      <c r="E35" s="34">
        <v>3.1988193500000066</v>
      </c>
      <c r="F35" s="34">
        <v>8.1963769800000073</v>
      </c>
      <c r="G35" s="34">
        <v>11.964704790000006</v>
      </c>
      <c r="H35" s="34">
        <v>15.142709950000002</v>
      </c>
      <c r="I35" s="34">
        <v>6.71768374</v>
      </c>
      <c r="J35" s="34">
        <v>12.534548629999991</v>
      </c>
      <c r="K35" s="34">
        <v>8.0775163099999947</v>
      </c>
      <c r="L35" s="34">
        <v>10.162807830000013</v>
      </c>
      <c r="M35" s="34">
        <v>9.1498317099999955</v>
      </c>
      <c r="N35" s="34">
        <v>6.474698800000005</v>
      </c>
      <c r="O35" s="34"/>
      <c r="P35" s="34">
        <f>+SUM(D35:O35)</f>
        <v>95.424857280000026</v>
      </c>
      <c r="R35" s="44"/>
    </row>
    <row r="36" spans="2:18" s="3" customFormat="1" ht="18" customHeight="1" thickTop="1" thickBot="1">
      <c r="B36" s="260"/>
      <c r="C36" s="29" t="s">
        <v>139</v>
      </c>
      <c r="D36" s="52">
        <f t="shared" ref="D36:P36" si="6">+D33+D34+D35</f>
        <v>97.154688999999962</v>
      </c>
      <c r="E36" s="52">
        <f t="shared" si="6"/>
        <v>96.799104640000024</v>
      </c>
      <c r="F36" s="52">
        <f t="shared" si="6"/>
        <v>86.063214100000053</v>
      </c>
      <c r="G36" s="52">
        <f t="shared" si="6"/>
        <v>126.97905409000006</v>
      </c>
      <c r="H36" s="52">
        <f t="shared" si="6"/>
        <v>105.88474876999997</v>
      </c>
      <c r="I36" s="52">
        <f t="shared" si="6"/>
        <v>67.762480700000026</v>
      </c>
      <c r="J36" s="52">
        <f t="shared" si="6"/>
        <v>95.376971639999994</v>
      </c>
      <c r="K36" s="52">
        <f t="shared" si="6"/>
        <v>102.77910234999993</v>
      </c>
      <c r="L36" s="52">
        <f t="shared" si="6"/>
        <v>63.192517450000025</v>
      </c>
      <c r="M36" s="52">
        <f t="shared" si="6"/>
        <v>89.490652909999994</v>
      </c>
      <c r="N36" s="52">
        <f t="shared" si="6"/>
        <v>79.899564689999977</v>
      </c>
      <c r="O36" s="52">
        <f t="shared" si="6"/>
        <v>0</v>
      </c>
      <c r="P36" s="34">
        <f t="shared" si="6"/>
        <v>1011.3821003400001</v>
      </c>
      <c r="R36" s="44"/>
    </row>
    <row r="37" spans="2:18" s="3" customFormat="1" ht="18" customHeight="1" thickTop="1" thickBot="1">
      <c r="B37" s="260"/>
      <c r="C37" s="32" t="s">
        <v>179</v>
      </c>
      <c r="D37" s="35">
        <f>+(D36-'Impo 2017'!D36)/'Impo 2017'!D36</f>
        <v>0.13351661662474465</v>
      </c>
      <c r="E37" s="35">
        <f>+(E36-'Impo 2017'!E36)/'Impo 2017'!E36</f>
        <v>0.29537037273056765</v>
      </c>
      <c r="F37" s="35">
        <f>+(F36-'Impo 2017'!F36)/'Impo 2017'!F36</f>
        <v>-0.2757771709920141</v>
      </c>
      <c r="G37" s="35">
        <f>+(G36-'Impo 2017'!G36)/'Impo 2017'!G36</f>
        <v>0.26946758326894638</v>
      </c>
      <c r="H37" s="35">
        <f>+(H36-'Impo 2017'!H36)/'Impo 2017'!H36</f>
        <v>0.3819486496770394</v>
      </c>
      <c r="I37" s="35">
        <f>+(I36-'Impo 2017'!I36)/'Impo 2017'!I36</f>
        <v>-0.35034319065366559</v>
      </c>
      <c r="J37" s="35">
        <f>+(J36-'Impo 2017'!J36)/'Impo 2017'!J36</f>
        <v>-3.8722158226702261E-2</v>
      </c>
      <c r="K37" s="35">
        <f>+(K36-'Impo 2017'!K36)/'Impo 2017'!K36</f>
        <v>1.2039046826408313E-2</v>
      </c>
      <c r="L37" s="35">
        <f>+(L36-'Impo 2017'!L36)/'Impo 2017'!L36</f>
        <v>-4.2422995183123091E-2</v>
      </c>
      <c r="M37" s="35">
        <f>+(M36-'Impo 2017'!M36)/'Impo 2017'!M36</f>
        <v>0.19908934899921085</v>
      </c>
      <c r="N37" s="35">
        <f>+(N36-'Impo 2017'!N36)/'Impo 2017'!N36</f>
        <v>0.21770158532776149</v>
      </c>
      <c r="O37" s="35">
        <f>+(O36-'Impo 2017'!O36)/'Impo 2017'!O36</f>
        <v>-1</v>
      </c>
      <c r="P37" s="139">
        <f ca="1">(P36-SUM('Impo 2017'!$D36:OFFSET('Impo 2017'!$D36,0,Índice!$Y$5)))/SUM('Impo 2017'!$D36:OFFSET('Impo 2017'!$D36,0,Índice!$Y$5))</f>
        <v>4.5639100961435725E-2</v>
      </c>
      <c r="R37" s="44"/>
    </row>
    <row r="38" spans="2:18" s="3" customFormat="1" ht="18" customHeight="1" thickTop="1" thickBot="1">
      <c r="B38" s="260" t="s">
        <v>10</v>
      </c>
      <c r="C38" s="29" t="s">
        <v>65</v>
      </c>
      <c r="D38" s="171">
        <v>15.009536269999996</v>
      </c>
      <c r="E38" s="171">
        <v>7.1340321499999986</v>
      </c>
      <c r="F38" s="171">
        <v>13.334065039999999</v>
      </c>
      <c r="G38" s="171">
        <v>11.515369610000006</v>
      </c>
      <c r="H38" s="171">
        <v>11.977401590000003</v>
      </c>
      <c r="I38" s="171">
        <v>18.502662920000002</v>
      </c>
      <c r="J38" s="171">
        <v>11.141811939999998</v>
      </c>
      <c r="K38" s="171">
        <v>8.7997229100000016</v>
      </c>
      <c r="L38" s="171">
        <v>21.693069110000003</v>
      </c>
      <c r="M38" s="34">
        <v>10.334826789999999</v>
      </c>
      <c r="N38" s="34">
        <v>12.146762680000002</v>
      </c>
      <c r="O38" s="34"/>
      <c r="P38" s="34">
        <f>+SUM(D38:O38)</f>
        <v>141.58926101</v>
      </c>
      <c r="R38" s="44"/>
    </row>
    <row r="39" spans="2:18" s="3" customFormat="1" ht="18" customHeight="1" thickTop="1" thickBot="1">
      <c r="B39" s="260"/>
      <c r="C39" s="29" t="s">
        <v>59</v>
      </c>
      <c r="D39" s="171">
        <v>26.708653239999997</v>
      </c>
      <c r="E39" s="171">
        <v>9.7224804200000001</v>
      </c>
      <c r="F39" s="171">
        <v>19.604977400000003</v>
      </c>
      <c r="G39" s="171">
        <v>36.339362770000001</v>
      </c>
      <c r="H39" s="171">
        <v>21.574189280000002</v>
      </c>
      <c r="I39" s="171">
        <v>19.708615579999996</v>
      </c>
      <c r="J39" s="171">
        <v>20.332814369999998</v>
      </c>
      <c r="K39" s="171">
        <v>40.996395679999992</v>
      </c>
      <c r="L39" s="171">
        <v>11.831993150000001</v>
      </c>
      <c r="M39" s="34">
        <v>14.76302272</v>
      </c>
      <c r="N39" s="34">
        <v>19.235217889999998</v>
      </c>
      <c r="O39" s="34"/>
      <c r="P39" s="34">
        <f>+SUM(D39:O39)</f>
        <v>240.8177225</v>
      </c>
      <c r="R39" s="44"/>
    </row>
    <row r="40" spans="2:18" s="3" customFormat="1" ht="18" customHeight="1" thickTop="1" thickBot="1">
      <c r="B40" s="260"/>
      <c r="C40" s="29" t="s">
        <v>60</v>
      </c>
      <c r="D40" s="52">
        <v>0.14193469</v>
      </c>
      <c r="E40" s="52">
        <v>0.14468787</v>
      </c>
      <c r="F40" s="52">
        <v>0.16552996000000003</v>
      </c>
      <c r="G40" s="52">
        <v>1.6391289999999999E-2</v>
      </c>
      <c r="H40" s="52">
        <v>0.11277639</v>
      </c>
      <c r="I40" s="52">
        <v>0.11186498999999997</v>
      </c>
      <c r="J40" s="52">
        <v>0.18858104000000001</v>
      </c>
      <c r="K40" s="52">
        <v>8.0825409999999986E-2</v>
      </c>
      <c r="L40" s="52">
        <v>0.14118708999999999</v>
      </c>
      <c r="M40" s="52">
        <v>5.8957890000000006E-2</v>
      </c>
      <c r="N40" s="52">
        <v>6.7439340000000014E-2</v>
      </c>
      <c r="O40" s="52"/>
      <c r="P40" s="34">
        <f>+SUM(D40:O40)</f>
        <v>1.23017596</v>
      </c>
      <c r="R40" s="44"/>
    </row>
    <row r="41" spans="2:18" s="3" customFormat="1" ht="18" customHeight="1" thickTop="1" thickBot="1">
      <c r="B41" s="260"/>
      <c r="C41" s="29" t="s">
        <v>139</v>
      </c>
      <c r="D41" s="52">
        <f t="shared" ref="D41:P41" si="7">+D38+D39+D40</f>
        <v>41.860124199999994</v>
      </c>
      <c r="E41" s="52">
        <f t="shared" si="7"/>
        <v>17.001200439999998</v>
      </c>
      <c r="F41" s="52">
        <f t="shared" si="7"/>
        <v>33.104572400000002</v>
      </c>
      <c r="G41" s="52">
        <f t="shared" si="7"/>
        <v>47.87112367000001</v>
      </c>
      <c r="H41" s="52">
        <f t="shared" si="7"/>
        <v>33.664367260000006</v>
      </c>
      <c r="I41" s="52">
        <f t="shared" si="7"/>
        <v>38.32314349</v>
      </c>
      <c r="J41" s="52">
        <f t="shared" si="7"/>
        <v>31.663207349999997</v>
      </c>
      <c r="K41" s="52">
        <f t="shared" si="7"/>
        <v>49.876943999999995</v>
      </c>
      <c r="L41" s="52">
        <f t="shared" si="7"/>
        <v>33.666249350000008</v>
      </c>
      <c r="M41" s="52">
        <f t="shared" si="7"/>
        <v>25.156807399999998</v>
      </c>
      <c r="N41" s="52">
        <f t="shared" si="7"/>
        <v>31.44941991</v>
      </c>
      <c r="O41" s="52">
        <f t="shared" si="7"/>
        <v>0</v>
      </c>
      <c r="P41" s="34">
        <f t="shared" si="7"/>
        <v>383.63715947000003</v>
      </c>
      <c r="R41" s="44"/>
    </row>
    <row r="42" spans="2:18" s="3" customFormat="1" ht="18" customHeight="1" thickTop="1" thickBot="1">
      <c r="B42" s="260"/>
      <c r="C42" s="32" t="s">
        <v>179</v>
      </c>
      <c r="D42" s="35">
        <f>+(D41-'Impo 2017'!D41)/'Impo 2017'!D41</f>
        <v>-0.16397159733624572</v>
      </c>
      <c r="E42" s="35">
        <f>+(E41-'Impo 2017'!E41)/'Impo 2017'!E41</f>
        <v>-0.32404042170423397</v>
      </c>
      <c r="F42" s="35">
        <f>+(F41-'Impo 2017'!F41)/'Impo 2017'!F41</f>
        <v>78.353535870718517</v>
      </c>
      <c r="G42" s="35">
        <f>+(G41-'Impo 2017'!G41)/'Impo 2017'!G41</f>
        <v>0.23484888799739503</v>
      </c>
      <c r="H42" s="35">
        <f>+(H41-'Impo 2017'!H41)/'Impo 2017'!H41</f>
        <v>-3.4117221365377051E-2</v>
      </c>
      <c r="I42" s="35">
        <f>+(I41-'Impo 2017'!I41)/'Impo 2017'!I41</f>
        <v>0.70228180731608425</v>
      </c>
      <c r="J42" s="35">
        <f>+(J41-'Impo 2017'!J41)/'Impo 2017'!J41</f>
        <v>0.360639812696881</v>
      </c>
      <c r="K42" s="35">
        <f>+(K41-'Impo 2017'!K41)/'Impo 2017'!K41</f>
        <v>0.27852856334835135</v>
      </c>
      <c r="L42" s="35">
        <f>+(L41-'Impo 2017'!L41)/'Impo 2017'!L41</f>
        <v>0.43556526241290744</v>
      </c>
      <c r="M42" s="35">
        <f>+(M41-'Impo 2017'!M41)/'Impo 2017'!M41</f>
        <v>-0.51757479622486324</v>
      </c>
      <c r="N42" s="35">
        <f>+(N41-'Impo 2017'!N41)/'Impo 2017'!N41</f>
        <v>0.12735229190446087</v>
      </c>
      <c r="O42" s="35">
        <f>+(O41-'Impo 2017'!O41)/'Impo 2017'!O41</f>
        <v>-1</v>
      </c>
      <c r="P42" s="139">
        <f ca="1">(P41-SUM('Impo 2017'!$D41:OFFSET('Impo 2017'!$D41,0,Índice!$Y$5)))/SUM('Impo 2017'!$D41:OFFSET('Impo 2017'!$D41,0,Índice!$Y$5))</f>
        <v>0.1365393067107494</v>
      </c>
      <c r="R42" s="44"/>
    </row>
    <row r="43" spans="2:18" s="3" customFormat="1" ht="18" customHeight="1" thickTop="1" thickBot="1">
      <c r="B43" s="260" t="s">
        <v>11</v>
      </c>
      <c r="C43" s="29" t="s">
        <v>65</v>
      </c>
      <c r="D43" s="171">
        <v>5.5764880000000003</v>
      </c>
      <c r="E43" s="171">
        <v>9.4712840000000007</v>
      </c>
      <c r="F43" s="171">
        <v>11.013973</v>
      </c>
      <c r="G43" s="171">
        <v>26.217355999999999</v>
      </c>
      <c r="H43" s="34">
        <v>20.267285999999999</v>
      </c>
      <c r="I43" s="34">
        <v>14.326280000000001</v>
      </c>
      <c r="J43" s="34">
        <v>17.864193</v>
      </c>
      <c r="K43" s="34">
        <v>10.967864000000001</v>
      </c>
      <c r="L43" s="34">
        <v>22.198155</v>
      </c>
      <c r="M43" s="34">
        <v>22.140149000000001</v>
      </c>
      <c r="N43" s="170">
        <v>18</v>
      </c>
      <c r="O43" s="34"/>
      <c r="P43" s="34">
        <f>+SUM(D43:O43)</f>
        <v>178.04302799999999</v>
      </c>
      <c r="R43" s="44"/>
    </row>
    <row r="44" spans="2:18" s="3" customFormat="1" ht="18" customHeight="1" thickTop="1" thickBot="1">
      <c r="B44" s="260"/>
      <c r="C44" s="29" t="s">
        <v>59</v>
      </c>
      <c r="D44" s="171">
        <v>37.036363000000001</v>
      </c>
      <c r="E44" s="171">
        <v>28.884838999999999</v>
      </c>
      <c r="F44" s="171">
        <v>46.056216999999997</v>
      </c>
      <c r="G44" s="34">
        <v>27.212167000000001</v>
      </c>
      <c r="H44" s="34">
        <v>49.169966000000002</v>
      </c>
      <c r="I44" s="34">
        <v>41.146777</v>
      </c>
      <c r="J44" s="34">
        <v>32.072042000000003</v>
      </c>
      <c r="K44" s="34">
        <v>24.048290999999999</v>
      </c>
      <c r="L44" s="34">
        <v>55.451371999999999</v>
      </c>
      <c r="M44" s="34">
        <v>34.551648</v>
      </c>
      <c r="N44" s="170">
        <v>38</v>
      </c>
      <c r="O44" s="34"/>
      <c r="P44" s="34">
        <f>+SUM(D44:O44)</f>
        <v>413.629682</v>
      </c>
      <c r="R44" s="44"/>
    </row>
    <row r="45" spans="2:18" s="3" customFormat="1" ht="18" customHeight="1" thickTop="1" thickBot="1">
      <c r="B45" s="260"/>
      <c r="C45" s="29" t="s">
        <v>60</v>
      </c>
      <c r="D45" s="171">
        <v>0.37761499999999998</v>
      </c>
      <c r="E45" s="171">
        <v>0.105251</v>
      </c>
      <c r="F45" s="171">
        <v>0.35022300000000001</v>
      </c>
      <c r="G45" s="34">
        <v>1.1710119999999999</v>
      </c>
      <c r="H45" s="34">
        <v>0.193193</v>
      </c>
      <c r="I45" s="34">
        <v>0.51381699999999997</v>
      </c>
      <c r="J45" s="34">
        <v>1.130717</v>
      </c>
      <c r="K45" s="171">
        <v>0.25509799999999999</v>
      </c>
      <c r="L45" s="171">
        <v>3.8124999999999999E-2</v>
      </c>
      <c r="M45" s="171">
        <v>0.27607799999999999</v>
      </c>
      <c r="N45" s="170">
        <v>0.2</v>
      </c>
      <c r="O45" s="34"/>
      <c r="P45" s="34">
        <f>+SUM(D45:O45)</f>
        <v>4.611129</v>
      </c>
      <c r="R45" s="44"/>
    </row>
    <row r="46" spans="2:18" s="3" customFormat="1" ht="18" customHeight="1" thickTop="1" thickBot="1">
      <c r="B46" s="260"/>
      <c r="C46" s="29" t="s">
        <v>139</v>
      </c>
      <c r="D46" s="52">
        <f t="shared" ref="D46:P46" si="8">+D43+D44+D45</f>
        <v>42.990465999999998</v>
      </c>
      <c r="E46" s="52">
        <f t="shared" si="8"/>
        <v>38.461373999999999</v>
      </c>
      <c r="F46" s="52">
        <f t="shared" si="8"/>
        <v>57.420412999999996</v>
      </c>
      <c r="G46" s="52">
        <f t="shared" si="8"/>
        <v>54.600535000000001</v>
      </c>
      <c r="H46" s="52">
        <f t="shared" si="8"/>
        <v>69.630444999999995</v>
      </c>
      <c r="I46" s="52">
        <f t="shared" si="8"/>
        <v>55.986874</v>
      </c>
      <c r="J46" s="52">
        <f t="shared" si="8"/>
        <v>51.066952000000001</v>
      </c>
      <c r="K46" s="52">
        <f t="shared" si="8"/>
        <v>35.271252999999994</v>
      </c>
      <c r="L46" s="52">
        <f t="shared" si="8"/>
        <v>77.687652</v>
      </c>
      <c r="M46" s="52">
        <f t="shared" si="8"/>
        <v>56.967874999999999</v>
      </c>
      <c r="N46" s="53">
        <f t="shared" si="8"/>
        <v>56.2</v>
      </c>
      <c r="O46" s="52">
        <f t="shared" si="8"/>
        <v>0</v>
      </c>
      <c r="P46" s="34">
        <f t="shared" si="8"/>
        <v>596.28383900000006</v>
      </c>
      <c r="R46" s="44"/>
    </row>
    <row r="47" spans="2:18" s="3" customFormat="1" ht="18" customHeight="1" thickTop="1" thickBot="1">
      <c r="B47" s="260"/>
      <c r="C47" s="32" t="s">
        <v>179</v>
      </c>
      <c r="D47" s="35">
        <f>+(D46-'Impo 2017'!D46)/'Impo 2017'!D46</f>
        <v>-0.28635363411964893</v>
      </c>
      <c r="E47" s="35">
        <f>+(E46-'Impo 2017'!E46)/'Impo 2017'!E46</f>
        <v>0.21603496339220521</v>
      </c>
      <c r="F47" s="35">
        <f>+(F46-'Impo 2017'!F46)/'Impo 2017'!F46</f>
        <v>0.11947231862378337</v>
      </c>
      <c r="G47" s="35">
        <f>+(G46-'Impo 2017'!G46)/'Impo 2017'!G46</f>
        <v>-0.37790635089411301</v>
      </c>
      <c r="H47" s="35">
        <f>+(H46-'Impo 2017'!H46)/'Impo 2017'!H46</f>
        <v>0.38899027475639891</v>
      </c>
      <c r="I47" s="35">
        <f>+(I46-'Impo 2017'!I46)/'Impo 2017'!I46</f>
        <v>-8.1392119600859236E-2</v>
      </c>
      <c r="J47" s="35">
        <f>+(J46-'Impo 2017'!J46)/'Impo 2017'!J46</f>
        <v>-0.37543576412498036</v>
      </c>
      <c r="K47" s="35">
        <f>+(K46-'Impo 2017'!K46)/'Impo 2017'!K46</f>
        <v>-0.52662171097155142</v>
      </c>
      <c r="L47" s="35">
        <f>+(L46-'Impo 2017'!L46)/'Impo 2017'!L46</f>
        <v>0.54500005846875343</v>
      </c>
      <c r="M47" s="35">
        <f>+(M46-'Impo 2017'!M46)/'Impo 2017'!M46</f>
        <v>-0.17498909538777968</v>
      </c>
      <c r="N47" s="172">
        <f>+(N46-'Impo 2017'!N46)/'Impo 2017'!N46</f>
        <v>0.29135703011780073</v>
      </c>
      <c r="O47" s="35">
        <f>+(O46-'Impo 2017'!O46)/'Impo 2017'!O46</f>
        <v>-1</v>
      </c>
      <c r="P47" s="139">
        <f ca="1">(P46-SUM('Impo 2017'!$D46:OFFSET('Impo 2017'!$D46,0,Índice!$Y$5)))/SUM('Impo 2017'!$D46:OFFSET('Impo 2017'!$D46,0,Índice!$Y$5))</f>
        <v>-9.8092660823168101E-2</v>
      </c>
      <c r="R47" s="44"/>
    </row>
    <row r="48" spans="2:18" s="3" customFormat="1" ht="18" customHeight="1" thickTop="1" thickBot="1">
      <c r="B48" s="260" t="s">
        <v>86</v>
      </c>
      <c r="C48" s="29" t="s">
        <v>65</v>
      </c>
      <c r="D48" s="171">
        <v>10.580009029999999</v>
      </c>
      <c r="E48" s="171">
        <v>13.942694560000005</v>
      </c>
      <c r="F48" s="171">
        <v>11.601598879999997</v>
      </c>
      <c r="G48" s="171">
        <v>13.034168130000001</v>
      </c>
      <c r="H48" s="171">
        <v>14.744267449999997</v>
      </c>
      <c r="I48" s="171">
        <v>12.390240110000001</v>
      </c>
      <c r="J48" s="171">
        <v>11.483539430000004</v>
      </c>
      <c r="K48" s="171">
        <v>11.534061489999997</v>
      </c>
      <c r="L48" s="171">
        <v>17.659105220000004</v>
      </c>
      <c r="M48" s="171">
        <v>12.157491840000002</v>
      </c>
      <c r="N48" s="170">
        <v>14</v>
      </c>
      <c r="O48" s="34"/>
      <c r="P48" s="34">
        <f>+SUM(D48:O48)</f>
        <v>143.12717613999999</v>
      </c>
      <c r="R48" s="69"/>
    </row>
    <row r="49" spans="2:19" s="3" customFormat="1" ht="18" customHeight="1" thickTop="1" thickBot="1">
      <c r="B49" s="260"/>
      <c r="C49" s="29" t="s">
        <v>59</v>
      </c>
      <c r="D49" s="171">
        <v>21.346176080000017</v>
      </c>
      <c r="E49" s="171">
        <v>16.182162839999997</v>
      </c>
      <c r="F49" s="171">
        <v>26.149884449999998</v>
      </c>
      <c r="G49" s="171">
        <v>13.075046880000002</v>
      </c>
      <c r="H49" s="171">
        <v>16.001057689999996</v>
      </c>
      <c r="I49" s="171">
        <v>39.323399069999994</v>
      </c>
      <c r="J49" s="171">
        <v>22.102246559999987</v>
      </c>
      <c r="K49" s="171">
        <v>9.1228562499999981</v>
      </c>
      <c r="L49" s="171">
        <v>43.949009600000025</v>
      </c>
      <c r="M49" s="171">
        <v>18.717761639999999</v>
      </c>
      <c r="N49" s="170">
        <v>24</v>
      </c>
      <c r="O49" s="34"/>
      <c r="P49" s="34">
        <f>+SUM(D49:O49)</f>
        <v>249.96960106</v>
      </c>
      <c r="R49" s="69"/>
    </row>
    <row r="50" spans="2:19" s="3" customFormat="1" ht="18" customHeight="1" thickTop="1" thickBot="1">
      <c r="B50" s="260"/>
      <c r="C50" s="29" t="s">
        <v>60</v>
      </c>
      <c r="D50" s="171">
        <v>0.21204277000000002</v>
      </c>
      <c r="E50" s="171">
        <v>7.5757199999999997E-2</v>
      </c>
      <c r="F50" s="171">
        <v>0.49406959999999994</v>
      </c>
      <c r="G50" s="171">
        <v>0.10656583</v>
      </c>
      <c r="H50" s="171">
        <v>3.9664289999999991E-2</v>
      </c>
      <c r="I50" s="171">
        <v>0.11830358999999999</v>
      </c>
      <c r="J50" s="171">
        <v>5.8531650000000005E-2</v>
      </c>
      <c r="K50" s="171">
        <v>0.18540574000000004</v>
      </c>
      <c r="L50" s="171">
        <v>0.28306806000000007</v>
      </c>
      <c r="M50" s="171">
        <v>0.12008927</v>
      </c>
      <c r="N50" s="170">
        <v>0.2</v>
      </c>
      <c r="O50" s="34"/>
      <c r="P50" s="34">
        <f>+SUM(D50:O50)</f>
        <v>1.8934980000000001</v>
      </c>
      <c r="R50" s="69"/>
    </row>
    <row r="51" spans="2:19" s="3" customFormat="1" ht="18" customHeight="1" thickTop="1" thickBot="1">
      <c r="B51" s="260"/>
      <c r="C51" s="29" t="s">
        <v>139</v>
      </c>
      <c r="D51" s="52">
        <f t="shared" ref="D51:P51" si="9">+D48+D49+D50</f>
        <v>32.138227880000017</v>
      </c>
      <c r="E51" s="52">
        <f t="shared" si="9"/>
        <v>30.200614600000005</v>
      </c>
      <c r="F51" s="52">
        <f t="shared" si="9"/>
        <v>38.245552930000002</v>
      </c>
      <c r="G51" s="52">
        <f t="shared" si="9"/>
        <v>26.215780840000004</v>
      </c>
      <c r="H51" s="52">
        <f t="shared" si="9"/>
        <v>30.784989429999992</v>
      </c>
      <c r="I51" s="52">
        <f t="shared" si="9"/>
        <v>51.831942769999991</v>
      </c>
      <c r="J51" s="52">
        <f t="shared" si="9"/>
        <v>33.64431763999999</v>
      </c>
      <c r="K51" s="52">
        <f t="shared" si="9"/>
        <v>20.842323479999997</v>
      </c>
      <c r="L51" s="52">
        <f t="shared" si="9"/>
        <v>61.891182880000024</v>
      </c>
      <c r="M51" s="52">
        <f t="shared" si="9"/>
        <v>30.995342750000002</v>
      </c>
      <c r="N51" s="53">
        <f t="shared" si="9"/>
        <v>38.200000000000003</v>
      </c>
      <c r="O51" s="52">
        <f t="shared" si="9"/>
        <v>0</v>
      </c>
      <c r="P51" s="34">
        <f t="shared" si="9"/>
        <v>394.99027520000004</v>
      </c>
      <c r="R51" s="55"/>
      <c r="S51" s="61"/>
    </row>
    <row r="52" spans="2:19" s="3" customFormat="1" ht="18" customHeight="1" thickTop="1" thickBot="1">
      <c r="B52" s="260"/>
      <c r="C52" s="32" t="s">
        <v>179</v>
      </c>
      <c r="D52" s="35">
        <f>+(D51-'Impo 2017'!D51)/'Impo 2017'!D51</f>
        <v>0.35744105076427624</v>
      </c>
      <c r="E52" s="35">
        <f>+(E51-'Impo 2017'!E51)/'Impo 2017'!E51</f>
        <v>-0.36442114266435444</v>
      </c>
      <c r="F52" s="35">
        <f>+(F51-'Impo 2017'!F51)/'Impo 2017'!F51</f>
        <v>0.44635974309089294</v>
      </c>
      <c r="G52" s="35">
        <f>+(G51-'Impo 2017'!G51)/'Impo 2017'!G51</f>
        <v>-0.23824860951924548</v>
      </c>
      <c r="H52" s="35">
        <f>+(H51-'Impo 2017'!H51)/'Impo 2017'!H51</f>
        <v>-0.13909364445778416</v>
      </c>
      <c r="I52" s="35">
        <f>+(I51-'Impo 2017'!I51)/'Impo 2017'!I51</f>
        <v>0.20334733313992356</v>
      </c>
      <c r="J52" s="35">
        <f>+(J51-'Impo 2017'!J51)/'Impo 2017'!J51</f>
        <v>0.10817220049620607</v>
      </c>
      <c r="K52" s="35">
        <f>+(K51-'Impo 2017'!K51)/'Impo 2017'!K51</f>
        <v>-0.40587696839847509</v>
      </c>
      <c r="L52" s="35">
        <f>+(L51-'Impo 2017'!L51)/'Impo 2017'!L51</f>
        <v>0.29720891314772907</v>
      </c>
      <c r="M52" s="35">
        <f>+(M51-'Impo 2017'!M51)/'Impo 2017'!M51</f>
        <v>-0.1308991508514821</v>
      </c>
      <c r="N52" s="172">
        <f>+(N51-'Impo 2017'!N51)/'Impo 2017'!N51</f>
        <v>-7.4201046269584653E-2</v>
      </c>
      <c r="O52" s="35">
        <f>+(O51-'Impo 2017'!O51)/'Impo 2017'!O51</f>
        <v>-1</v>
      </c>
      <c r="P52" s="139">
        <f ca="1">(P51-SUM('Impo 2017'!$D51:OFFSET('Impo 2017'!$D51,0,Índice!$Y$5)))/SUM('Impo 2017'!$D51:OFFSET('Impo 2017'!$D51,0,Índice!$Y$5))</f>
        <v>-1.4887145767526257E-2</v>
      </c>
      <c r="R52" s="44"/>
    </row>
    <row r="53" spans="2:19" ht="18" customHeight="1" thickTop="1" thickBot="1">
      <c r="B53" s="260" t="s">
        <v>43</v>
      </c>
      <c r="C53" s="29" t="s">
        <v>65</v>
      </c>
      <c r="D53" s="171">
        <v>142.67658757091993</v>
      </c>
      <c r="E53" s="171">
        <v>126.75371284629999</v>
      </c>
      <c r="F53" s="171">
        <v>114.37615700479999</v>
      </c>
      <c r="G53" s="171">
        <v>138.25571871475003</v>
      </c>
      <c r="H53" s="171">
        <v>144.03827559459995</v>
      </c>
      <c r="I53" s="171">
        <v>135.79970350080001</v>
      </c>
      <c r="J53" s="171">
        <v>126.0438029978</v>
      </c>
      <c r="K53" s="171">
        <v>171.76001567360001</v>
      </c>
      <c r="L53" s="171">
        <v>105.4166568727</v>
      </c>
      <c r="M53" s="171">
        <v>139.21128756730002</v>
      </c>
      <c r="N53" s="171">
        <v>136.994</v>
      </c>
      <c r="O53" s="34"/>
      <c r="P53" s="34">
        <f>+SUM(D53:O53)</f>
        <v>1481.32591834357</v>
      </c>
      <c r="R53" s="14"/>
    </row>
    <row r="54" spans="2:19" ht="18" customHeight="1" thickTop="1" thickBot="1">
      <c r="B54" s="260"/>
      <c r="C54" s="29" t="s">
        <v>59</v>
      </c>
      <c r="D54" s="171">
        <v>669.6399286436</v>
      </c>
      <c r="E54" s="171">
        <v>572.64483248509987</v>
      </c>
      <c r="F54" s="171">
        <v>701.08921419160004</v>
      </c>
      <c r="G54" s="171">
        <v>681.9202189801498</v>
      </c>
      <c r="H54" s="171">
        <v>726.76026714190004</v>
      </c>
      <c r="I54" s="171">
        <v>597.59287513469985</v>
      </c>
      <c r="J54" s="171">
        <v>661.87445213080002</v>
      </c>
      <c r="K54" s="171">
        <v>694.23974480232005</v>
      </c>
      <c r="L54" s="171">
        <v>629.35520077249987</v>
      </c>
      <c r="M54" s="171">
        <v>753.7226742926</v>
      </c>
      <c r="N54" s="171">
        <v>751.33</v>
      </c>
      <c r="O54" s="34"/>
      <c r="P54" s="34">
        <f>+SUM(D54:O54)</f>
        <v>7440.1694085752697</v>
      </c>
      <c r="R54" s="14"/>
    </row>
    <row r="55" spans="2:19" ht="18" customHeight="1" thickTop="1" thickBot="1">
      <c r="B55" s="260"/>
      <c r="C55" s="29" t="s">
        <v>60</v>
      </c>
      <c r="D55" s="171">
        <v>14.730014030499992</v>
      </c>
      <c r="E55" s="171">
        <v>7.2538568269999972</v>
      </c>
      <c r="F55" s="171">
        <v>8.8051867231000021</v>
      </c>
      <c r="G55" s="171">
        <v>9.5249688060000004</v>
      </c>
      <c r="H55" s="171">
        <v>13.841906491100001</v>
      </c>
      <c r="I55" s="171">
        <v>12.842414803499993</v>
      </c>
      <c r="J55" s="171">
        <v>11.217161732599999</v>
      </c>
      <c r="K55" s="171">
        <v>10.655215501020001</v>
      </c>
      <c r="L55" s="171">
        <v>10.417740591199999</v>
      </c>
      <c r="M55" s="171">
        <v>10.830736659199999</v>
      </c>
      <c r="N55" s="171">
        <v>11.991</v>
      </c>
      <c r="O55" s="34"/>
      <c r="P55" s="34">
        <f>+SUM(D55:O55)</f>
        <v>122.11020216521999</v>
      </c>
      <c r="R55" s="14"/>
    </row>
    <row r="56" spans="2:19" ht="18" customHeight="1" thickTop="1" thickBot="1">
      <c r="B56" s="260"/>
      <c r="C56" s="29" t="s">
        <v>139</v>
      </c>
      <c r="D56" s="52">
        <f>+D53+D54+D55</f>
        <v>827.04653024501988</v>
      </c>
      <c r="E56" s="52">
        <f t="shared" ref="E56:I56" si="10">+E53+E54+E55</f>
        <v>706.65240215839992</v>
      </c>
      <c r="F56" s="52">
        <f t="shared" si="10"/>
        <v>824.27055791949999</v>
      </c>
      <c r="G56" s="52">
        <f t="shared" si="10"/>
        <v>829.7009065008998</v>
      </c>
      <c r="H56" s="52">
        <f t="shared" si="10"/>
        <v>884.6404492275999</v>
      </c>
      <c r="I56" s="52">
        <f t="shared" si="10"/>
        <v>746.23499343899982</v>
      </c>
      <c r="J56" s="52">
        <f t="shared" ref="J56:P56" si="11">+J53+J54+J55</f>
        <v>799.13541686119993</v>
      </c>
      <c r="K56" s="52">
        <f t="shared" si="11"/>
        <v>876.65497597694014</v>
      </c>
      <c r="L56" s="52">
        <f t="shared" si="11"/>
        <v>745.18959823639977</v>
      </c>
      <c r="M56" s="52">
        <f t="shared" si="11"/>
        <v>903.76469851909997</v>
      </c>
      <c r="N56" s="52">
        <f t="shared" si="11"/>
        <v>900.31500000000005</v>
      </c>
      <c r="O56" s="52">
        <f t="shared" si="11"/>
        <v>0</v>
      </c>
      <c r="P56" s="34">
        <f t="shared" si="11"/>
        <v>9043.6055290840595</v>
      </c>
      <c r="Q56" s="4" t="s">
        <v>17</v>
      </c>
      <c r="R56" s="14"/>
    </row>
    <row r="57" spans="2:19" ht="18" customHeight="1" thickTop="1" thickBot="1">
      <c r="B57" s="260"/>
      <c r="C57" s="32" t="s">
        <v>179</v>
      </c>
      <c r="D57" s="35">
        <f>+(D56-'Impo 2017'!D56)/'Impo 2017'!D56</f>
        <v>-0.1264602551700901</v>
      </c>
      <c r="E57" s="35">
        <f>+(E56-'Impo 2017'!E56)/'Impo 2017'!E56</f>
        <v>-0.12264365007510725</v>
      </c>
      <c r="F57" s="35">
        <f>+(F56-'Impo 2017'!F56)/'Impo 2017'!F56</f>
        <v>-0.22969573329903792</v>
      </c>
      <c r="G57" s="35">
        <f>+(G56-'Impo 2017'!G56)/'Impo 2017'!G56</f>
        <v>-5.75007234719698E-2</v>
      </c>
      <c r="H57" s="35">
        <f>+(H56-'Impo 2017'!H56)/'Impo 2017'!H56</f>
        <v>-0.21271708255093838</v>
      </c>
      <c r="I57" s="35">
        <f>+(I56-'Impo 2017'!I56)/'Impo 2017'!I56</f>
        <v>-0.305742063902119</v>
      </c>
      <c r="J57" s="35">
        <f>+(J56-'Impo 2017'!J56)/'Impo 2017'!J56</f>
        <v>-0.12361865142894099</v>
      </c>
      <c r="K57" s="35">
        <f>+(K56-'Impo 2017'!K56)/'Impo 2017'!K56</f>
        <v>-5.978501313251959E-2</v>
      </c>
      <c r="L57" s="35">
        <f>+(L56-'Impo 2017'!L56)/'Impo 2017'!L56</f>
        <v>-0.16512441601189146</v>
      </c>
      <c r="M57" s="35">
        <f>+(M56-'Impo 2017'!M56)/'Impo 2017'!M56</f>
        <v>-2.0897520922111522E-2</v>
      </c>
      <c r="N57" s="35">
        <f>+(N56-'Impo 2017'!N56)/'Impo 2017'!N56</f>
        <v>0.16291837017766705</v>
      </c>
      <c r="O57" s="35">
        <f>+(O56-'Impo 2017'!O56)/'Impo 2017'!O56</f>
        <v>-1</v>
      </c>
      <c r="P57" s="139">
        <f ca="1">(P56-SUM('Impo 2017'!$D56:OFFSET('Impo 2017'!$D56,0,Índice!$Y$5)))/SUM('Impo 2017'!$D56:OFFSET('Impo 2017'!$D56,0,Índice!$Y$5))</f>
        <v>-0.12496960892150555</v>
      </c>
      <c r="R57" s="14"/>
    </row>
    <row r="58" spans="2:19" s="3" customFormat="1" ht="18" customHeight="1" thickTop="1" thickBot="1">
      <c r="B58" s="260" t="s">
        <v>71</v>
      </c>
      <c r="C58" s="29" t="s">
        <v>65</v>
      </c>
      <c r="D58" s="34">
        <v>40.060396169999983</v>
      </c>
      <c r="E58" s="34">
        <v>4.24593066</v>
      </c>
      <c r="F58" s="34">
        <v>26.641873030000006</v>
      </c>
      <c r="G58" s="34">
        <v>19.763654009999993</v>
      </c>
      <c r="H58" s="34">
        <v>34.089212799999991</v>
      </c>
      <c r="I58" s="34">
        <v>34.610401849999988</v>
      </c>
      <c r="J58" s="34">
        <v>33.475993240000008</v>
      </c>
      <c r="K58" s="34">
        <v>7.351838909999997</v>
      </c>
      <c r="L58" s="34">
        <v>15.42848319</v>
      </c>
      <c r="M58" s="34">
        <v>13.067208919999999</v>
      </c>
      <c r="N58" s="170">
        <v>12</v>
      </c>
      <c r="O58" s="34"/>
      <c r="P58" s="34">
        <f>+SUM(D58:O58)</f>
        <v>240.73499277999997</v>
      </c>
      <c r="R58" s="44"/>
    </row>
    <row r="59" spans="2:19" s="3" customFormat="1" ht="18" customHeight="1" thickTop="1" thickBot="1">
      <c r="B59" s="260"/>
      <c r="C59" s="29" t="s">
        <v>59</v>
      </c>
      <c r="D59" s="34">
        <v>33.509883910000006</v>
      </c>
      <c r="E59" s="34">
        <v>3.9791634000000005</v>
      </c>
      <c r="F59" s="34">
        <v>9.498122780000001</v>
      </c>
      <c r="G59" s="34">
        <v>4.98574071</v>
      </c>
      <c r="H59" s="34">
        <v>18.211360059999997</v>
      </c>
      <c r="I59" s="34">
        <v>6.9643572299999992</v>
      </c>
      <c r="J59" s="34">
        <v>4.2414467300000007</v>
      </c>
      <c r="K59" s="34">
        <v>13.429229789999999</v>
      </c>
      <c r="L59" s="34">
        <v>1.3394714100000007</v>
      </c>
      <c r="M59" s="34">
        <v>22.389376590000001</v>
      </c>
      <c r="N59" s="170">
        <v>12</v>
      </c>
      <c r="O59" s="34"/>
      <c r="P59" s="34">
        <f>+SUM(D59:O59)</f>
        <v>130.54815260999999</v>
      </c>
      <c r="R59" s="44"/>
    </row>
    <row r="60" spans="2:19" s="3" customFormat="1" ht="18" customHeight="1" thickTop="1" thickBot="1">
      <c r="B60" s="260"/>
      <c r="C60" s="29" t="s">
        <v>60</v>
      </c>
      <c r="D60" s="52">
        <v>0.33208508999999997</v>
      </c>
      <c r="E60" s="52">
        <v>6.3092300000000004E-2</v>
      </c>
      <c r="F60" s="52">
        <v>5.8102010000000003E-2</v>
      </c>
      <c r="G60" s="52">
        <v>7.8983419999999999E-2</v>
      </c>
      <c r="H60" s="52">
        <v>0.22794814000000002</v>
      </c>
      <c r="I60" s="52">
        <v>0.19601918999999998</v>
      </c>
      <c r="J60" s="52">
        <v>0.59396848999999996</v>
      </c>
      <c r="K60" s="52">
        <v>0.16195115999999996</v>
      </c>
      <c r="L60" s="52">
        <v>0.33725991000000016</v>
      </c>
      <c r="M60" s="52">
        <v>0.1590085</v>
      </c>
      <c r="N60" s="53">
        <v>0.2</v>
      </c>
      <c r="O60" s="52"/>
      <c r="P60" s="34">
        <f>+SUM(D60:O60)</f>
        <v>2.4084182100000002</v>
      </c>
      <c r="R60" s="44"/>
    </row>
    <row r="61" spans="2:19" s="3" customFormat="1" ht="18" customHeight="1" thickTop="1" thickBot="1">
      <c r="B61" s="260"/>
      <c r="C61" s="29" t="s">
        <v>139</v>
      </c>
      <c r="D61" s="52">
        <f t="shared" ref="D61:P61" si="12">+D58+D59+D60</f>
        <v>73.902365169999996</v>
      </c>
      <c r="E61" s="52">
        <f t="shared" si="12"/>
        <v>8.2881863599999992</v>
      </c>
      <c r="F61" s="52">
        <f t="shared" si="12"/>
        <v>36.198097820000008</v>
      </c>
      <c r="G61" s="52">
        <f t="shared" si="12"/>
        <v>24.828378139999991</v>
      </c>
      <c r="H61" s="52">
        <f t="shared" si="12"/>
        <v>52.528520999999991</v>
      </c>
      <c r="I61" s="52">
        <f t="shared" si="12"/>
        <v>41.770778269999987</v>
      </c>
      <c r="J61" s="52">
        <f t="shared" si="12"/>
        <v>38.31140846000001</v>
      </c>
      <c r="K61" s="52">
        <f t="shared" si="12"/>
        <v>20.943019859999996</v>
      </c>
      <c r="L61" s="52">
        <f t="shared" si="12"/>
        <v>17.10521451</v>
      </c>
      <c r="M61" s="52">
        <f t="shared" si="12"/>
        <v>35.615594009999995</v>
      </c>
      <c r="N61" s="53">
        <f t="shared" si="12"/>
        <v>24.2</v>
      </c>
      <c r="O61" s="52">
        <f t="shared" si="12"/>
        <v>0</v>
      </c>
      <c r="P61" s="34">
        <f t="shared" si="12"/>
        <v>373.69156359999994</v>
      </c>
      <c r="R61" s="44"/>
    </row>
    <row r="62" spans="2:19" s="3" customFormat="1" ht="18" customHeight="1" thickTop="1" thickBot="1">
      <c r="B62" s="260"/>
      <c r="C62" s="32" t="s">
        <v>179</v>
      </c>
      <c r="D62" s="35">
        <f>+(D61-'Impo 2017'!D61)/'Impo 2017'!D61</f>
        <v>0.69806966713859875</v>
      </c>
      <c r="E62" s="35">
        <f>+(E61-'Impo 2017'!E61)/'Impo 2017'!E61</f>
        <v>-0.60719165983781398</v>
      </c>
      <c r="F62" s="35">
        <f>+(F61-'Impo 2017'!F61)/'Impo 2017'!F61</f>
        <v>0.95272601622377917</v>
      </c>
      <c r="G62" s="35">
        <f>+(G61-'Impo 2017'!G61)/'Impo 2017'!G61</f>
        <v>-0.6207151396155457</v>
      </c>
      <c r="H62" s="35">
        <f>+(H61-'Impo 2017'!H61)/'Impo 2017'!H61</f>
        <v>0.22809288017535201</v>
      </c>
      <c r="I62" s="35">
        <f>+(I61-'Impo 2017'!I61)/'Impo 2017'!I61</f>
        <v>0.22232648814624889</v>
      </c>
      <c r="J62" s="35">
        <f>+(J61-'Impo 2017'!J61)/'Impo 2017'!J61</f>
        <v>-0.4444573964942557</v>
      </c>
      <c r="K62" s="35">
        <f>+(K61-'Impo 2017'!K61)/'Impo 2017'!K61</f>
        <v>-0.5134530162228147</v>
      </c>
      <c r="L62" s="35">
        <f>+(L61-'Impo 2017'!L61)/'Impo 2017'!L61</f>
        <v>-0.39638507214305613</v>
      </c>
      <c r="M62" s="35">
        <f>+(M61-'Impo 2017'!M61)/'Impo 2017'!M61</f>
        <v>0.48329122233655741</v>
      </c>
      <c r="N62" s="172">
        <f>+(N61-'Impo 2017'!N61)/'Impo 2017'!N61</f>
        <v>-4.8089813846328093E-2</v>
      </c>
      <c r="O62" s="35">
        <f>+(O61-'Impo 2017'!O61)/'Impo 2017'!O61</f>
        <v>-1</v>
      </c>
      <c r="P62" s="139">
        <f ca="1">(P61-SUM('Impo 2017'!$D61:OFFSET('Impo 2017'!$D61,0,Índice!$Y$5)))/SUM('Impo 2017'!$D61:OFFSET('Impo 2017'!$D61,0,Índice!$Y$5))</f>
        <v>-0.10028229229081739</v>
      </c>
      <c r="R62" s="44"/>
    </row>
    <row r="63" spans="2:19" s="3" customFormat="1" ht="18" customHeight="1" thickTop="1" thickBot="1">
      <c r="B63" s="261" t="s">
        <v>6</v>
      </c>
      <c r="C63" s="29" t="s">
        <v>65</v>
      </c>
      <c r="D63" s="34">
        <v>9.7289290899999994</v>
      </c>
      <c r="E63" s="34">
        <v>8.5048649500000018</v>
      </c>
      <c r="F63" s="34">
        <v>10.6697831</v>
      </c>
      <c r="G63" s="34">
        <v>14.8490761</v>
      </c>
      <c r="H63" s="34">
        <v>10.48249174</v>
      </c>
      <c r="I63" s="34">
        <v>11.295433290000002</v>
      </c>
      <c r="J63" s="34">
        <v>12.009811229999999</v>
      </c>
      <c r="K63" s="34">
        <v>14.705462639999999</v>
      </c>
      <c r="L63" s="34">
        <v>14.711593000000001</v>
      </c>
      <c r="M63" s="34">
        <v>13.712707</v>
      </c>
      <c r="N63" s="34">
        <v>13.798087000000001</v>
      </c>
      <c r="O63" s="34"/>
      <c r="P63" s="34">
        <f>+SUM(D63:O63)</f>
        <v>134.46823914000001</v>
      </c>
      <c r="R63" s="44"/>
    </row>
    <row r="64" spans="2:19" s="3" customFormat="1" ht="18" customHeight="1" thickTop="1" thickBot="1">
      <c r="B64" s="261"/>
      <c r="C64" s="29" t="s">
        <v>59</v>
      </c>
      <c r="D64" s="34">
        <v>27.268237309999993</v>
      </c>
      <c r="E64" s="34">
        <v>16.461488430000003</v>
      </c>
      <c r="F64" s="34">
        <v>21.686826049999997</v>
      </c>
      <c r="G64" s="34">
        <v>38.662501210000002</v>
      </c>
      <c r="H64" s="34">
        <v>31.040767930000001</v>
      </c>
      <c r="I64" s="34">
        <v>26.832981490000002</v>
      </c>
      <c r="J64" s="34">
        <v>19.061291300000001</v>
      </c>
      <c r="K64" s="34">
        <v>21.502340829999998</v>
      </c>
      <c r="L64" s="34">
        <v>15.329115</v>
      </c>
      <c r="M64" s="34">
        <v>18.574386000000001</v>
      </c>
      <c r="N64" s="34">
        <v>15.811007999999999</v>
      </c>
      <c r="O64" s="34"/>
      <c r="P64" s="34">
        <f>+SUM(D64:O64)</f>
        <v>252.23094355000001</v>
      </c>
      <c r="R64" s="44"/>
    </row>
    <row r="65" spans="2:20" s="3" customFormat="1" ht="18" customHeight="1" thickTop="1" thickBot="1">
      <c r="B65" s="261"/>
      <c r="C65" s="29" t="s">
        <v>60</v>
      </c>
      <c r="D65" s="52">
        <v>0.38759686999999998</v>
      </c>
      <c r="E65" s="52">
        <v>5.6731220000000006E-2</v>
      </c>
      <c r="F65" s="52">
        <v>0.38357680999999999</v>
      </c>
      <c r="G65" s="52">
        <v>0.12315247000000001</v>
      </c>
      <c r="H65" s="52">
        <v>0.74406228000000008</v>
      </c>
      <c r="I65" s="52">
        <v>0.26133982</v>
      </c>
      <c r="J65" s="52">
        <v>3.8086200000000008E-2</v>
      </c>
      <c r="K65" s="52">
        <v>0.12984950000000001</v>
      </c>
      <c r="L65" s="52">
        <v>0.28893999999999997</v>
      </c>
      <c r="M65" s="52">
        <v>0.25644099999999997</v>
      </c>
      <c r="N65" s="52">
        <v>1.6084999999999999E-2</v>
      </c>
      <c r="O65" s="52"/>
      <c r="P65" s="34">
        <f>+SUM(D65:O65)</f>
        <v>2.6858611699999999</v>
      </c>
      <c r="R65" s="44"/>
    </row>
    <row r="66" spans="2:20" s="3" customFormat="1" ht="18" customHeight="1" thickTop="1" thickBot="1">
      <c r="B66" s="261"/>
      <c r="C66" s="29" t="s">
        <v>139</v>
      </c>
      <c r="D66" s="52">
        <f t="shared" ref="D66:P66" si="13">+D63+D64+D65</f>
        <v>37.384763269999993</v>
      </c>
      <c r="E66" s="52">
        <f t="shared" si="13"/>
        <v>25.023084600000004</v>
      </c>
      <c r="F66" s="52">
        <f t="shared" si="13"/>
        <v>32.740185959999998</v>
      </c>
      <c r="G66" s="52">
        <f t="shared" si="13"/>
        <v>53.634729780000001</v>
      </c>
      <c r="H66" s="52">
        <f t="shared" si="13"/>
        <v>42.267321950000003</v>
      </c>
      <c r="I66" s="52">
        <f t="shared" si="13"/>
        <v>38.389754600000003</v>
      </c>
      <c r="J66" s="52">
        <f t="shared" si="13"/>
        <v>31.109188729999996</v>
      </c>
      <c r="K66" s="52">
        <f t="shared" si="13"/>
        <v>36.337652969999994</v>
      </c>
      <c r="L66" s="52">
        <f t="shared" si="13"/>
        <v>30.329648000000002</v>
      </c>
      <c r="M66" s="52">
        <f t="shared" si="13"/>
        <v>32.543534000000001</v>
      </c>
      <c r="N66" s="52">
        <f t="shared" si="13"/>
        <v>29.62518</v>
      </c>
      <c r="O66" s="52">
        <f t="shared" si="13"/>
        <v>0</v>
      </c>
      <c r="P66" s="34">
        <f t="shared" si="13"/>
        <v>389.38504386000005</v>
      </c>
      <c r="R66" s="44"/>
    </row>
    <row r="67" spans="2:20" s="3" customFormat="1" ht="18" customHeight="1" thickTop="1" thickBot="1">
      <c r="B67" s="261"/>
      <c r="C67" s="32" t="s">
        <v>179</v>
      </c>
      <c r="D67" s="35">
        <f>+(D66-'Impo 2017'!D66)/'Impo 2017'!D66</f>
        <v>0.48616738374455148</v>
      </c>
      <c r="E67" s="35">
        <f>+(E66-'Impo 2017'!E66)/'Impo 2017'!E66</f>
        <v>-0.10858467651531074</v>
      </c>
      <c r="F67" s="35">
        <f>+(F66-'Impo 2017'!F66)/'Impo 2017'!F66</f>
        <v>0.22710748222899521</v>
      </c>
      <c r="G67" s="35">
        <f>+(G66-'Impo 2017'!G66)/'Impo 2017'!G66</f>
        <v>2.439439997376073</v>
      </c>
      <c r="H67" s="35">
        <f>+(H66-'Impo 2017'!H66)/'Impo 2017'!H66</f>
        <v>0.44643557903631342</v>
      </c>
      <c r="I67" s="35">
        <f>+(I66-'Impo 2017'!I66)/'Impo 2017'!I66</f>
        <v>0.18264045293305606</v>
      </c>
      <c r="J67" s="35">
        <f>+(J66-'Impo 2017'!J66)/'Impo 2017'!J66</f>
        <v>738.63834355682354</v>
      </c>
      <c r="K67" s="35">
        <f>+(K66-'Impo 2017'!K66)/'Impo 2017'!K66</f>
        <v>6.6413705977773671E-2</v>
      </c>
      <c r="L67" s="35">
        <f>+(L66-'Impo 2017'!L66)/'Impo 2017'!L66</f>
        <v>-1.6468378764358065E-2</v>
      </c>
      <c r="M67" s="35">
        <f>+(M66-'Impo 2017'!M66)/'Impo 2017'!M66</f>
        <v>0.25824685302220229</v>
      </c>
      <c r="N67" s="35">
        <f>+(N66-'Impo 2017'!N66)/'Impo 2017'!N66</f>
        <v>1.9851515654252899E-4</v>
      </c>
      <c r="O67" s="35">
        <f>+(O66-'Impo 2017'!O66)/'Impo 2017'!O66</f>
        <v>-1</v>
      </c>
      <c r="P67" s="139">
        <f ca="1">(P66-SUM('Impo 2017'!$D66:OFFSET('Impo 2017'!$D66,0,Índice!$Y$5)))/SUM('Impo 2017'!$D66:OFFSET('Impo 2017'!$D66,0,Índice!$Y$5))</f>
        <v>0.40257484084315287</v>
      </c>
      <c r="R67" s="44"/>
    </row>
    <row r="68" spans="2:20" s="3" customFormat="1" ht="18" customHeight="1" thickTop="1" thickBot="1">
      <c r="B68" s="261" t="s">
        <v>44</v>
      </c>
      <c r="C68" s="29" t="s">
        <v>65</v>
      </c>
      <c r="D68" s="171">
        <v>80.69466226000003</v>
      </c>
      <c r="E68" s="171">
        <v>48.404303709999994</v>
      </c>
      <c r="F68" s="171">
        <v>54.787840789999919</v>
      </c>
      <c r="G68" s="171">
        <v>87.029488479999898</v>
      </c>
      <c r="H68" s="171">
        <v>66.15515151999989</v>
      </c>
      <c r="I68" s="171">
        <v>77.972305410000232</v>
      </c>
      <c r="J68" s="34">
        <v>88.967724639999986</v>
      </c>
      <c r="K68" s="34">
        <v>58.526159150000083</v>
      </c>
      <c r="L68" s="34">
        <v>63.288360519999991</v>
      </c>
      <c r="M68" s="171">
        <v>76.66486526999995</v>
      </c>
      <c r="N68" s="34">
        <v>103.09771593999976</v>
      </c>
      <c r="O68" s="34"/>
      <c r="P68" s="34">
        <f>+SUM(D68:O68)</f>
        <v>805.58857768999962</v>
      </c>
      <c r="R68" s="44"/>
    </row>
    <row r="69" spans="2:20" s="3" customFormat="1" ht="18" customHeight="1" thickTop="1" thickBot="1">
      <c r="B69" s="261"/>
      <c r="C69" s="29" t="s">
        <v>59</v>
      </c>
      <c r="D69" s="171">
        <v>64.521027820000043</v>
      </c>
      <c r="E69" s="171">
        <v>37.149891010000012</v>
      </c>
      <c r="F69" s="171">
        <v>55.572409130000011</v>
      </c>
      <c r="G69" s="171">
        <v>66.734470619999954</v>
      </c>
      <c r="H69" s="34">
        <v>61.498097780000002</v>
      </c>
      <c r="I69" s="34">
        <v>76.646133580000054</v>
      </c>
      <c r="J69" s="34">
        <v>60.549806290000021</v>
      </c>
      <c r="K69" s="34">
        <v>105.52915381000001</v>
      </c>
      <c r="L69" s="34">
        <v>52.325076640000006</v>
      </c>
      <c r="M69" s="171">
        <v>89.320863899999921</v>
      </c>
      <c r="N69" s="34">
        <v>80.871479970000024</v>
      </c>
      <c r="O69" s="34"/>
      <c r="P69" s="34">
        <f>+SUM(D69:O69)</f>
        <v>750.71841055000004</v>
      </c>
      <c r="R69" s="44"/>
      <c r="S69" s="3">
        <v>0</v>
      </c>
    </row>
    <row r="70" spans="2:20" s="3" customFormat="1" ht="18" customHeight="1" thickTop="1" thickBot="1">
      <c r="B70" s="261"/>
      <c r="C70" s="29" t="s">
        <v>60</v>
      </c>
      <c r="D70" s="171">
        <v>2.6606403500000004</v>
      </c>
      <c r="E70" s="171">
        <v>2.259718879999999</v>
      </c>
      <c r="F70" s="171">
        <v>7.1764813999999806</v>
      </c>
      <c r="G70" s="171">
        <v>2.2294887100000049</v>
      </c>
      <c r="H70" s="34">
        <v>7.314639480000003</v>
      </c>
      <c r="I70" s="34">
        <v>6.7674780799999965</v>
      </c>
      <c r="J70" s="34">
        <v>7.3379076899999998</v>
      </c>
      <c r="K70" s="34">
        <v>3.2934448700000094</v>
      </c>
      <c r="L70" s="34">
        <v>2.709539559999997</v>
      </c>
      <c r="M70" s="171">
        <v>13.459481289999992</v>
      </c>
      <c r="N70" s="34">
        <v>4.7057723199999977</v>
      </c>
      <c r="O70" s="34"/>
      <c r="P70" s="34">
        <f>+SUM(D70:O70)</f>
        <v>59.914592629999973</v>
      </c>
      <c r="R70" s="44"/>
    </row>
    <row r="71" spans="2:20" s="3" customFormat="1" ht="18" customHeight="1" thickTop="1" thickBot="1">
      <c r="B71" s="261"/>
      <c r="C71" s="29" t="s">
        <v>139</v>
      </c>
      <c r="D71" s="52">
        <f t="shared" ref="D71:P71" si="14">+D68+D69+D70</f>
        <v>147.87633043000005</v>
      </c>
      <c r="E71" s="52">
        <f t="shared" si="14"/>
        <v>87.813913599999992</v>
      </c>
      <c r="F71" s="52">
        <f t="shared" si="14"/>
        <v>117.53673131999992</v>
      </c>
      <c r="G71" s="52">
        <f t="shared" si="14"/>
        <v>155.99344780999985</v>
      </c>
      <c r="H71" s="52">
        <f t="shared" si="14"/>
        <v>134.9678887799999</v>
      </c>
      <c r="I71" s="52">
        <f t="shared" si="14"/>
        <v>161.38591707000029</v>
      </c>
      <c r="J71" s="52">
        <f t="shared" si="14"/>
        <v>156.85543862000003</v>
      </c>
      <c r="K71" s="52">
        <f t="shared" si="14"/>
        <v>167.3487578300001</v>
      </c>
      <c r="L71" s="52">
        <f t="shared" si="14"/>
        <v>118.32297671999999</v>
      </c>
      <c r="M71" s="52">
        <f t="shared" si="14"/>
        <v>179.44521045999986</v>
      </c>
      <c r="N71" s="52">
        <f t="shared" si="14"/>
        <v>188.67496822999976</v>
      </c>
      <c r="O71" s="52">
        <f t="shared" si="14"/>
        <v>0</v>
      </c>
      <c r="P71" s="34">
        <f t="shared" si="14"/>
        <v>1616.2215808699996</v>
      </c>
      <c r="R71" s="44"/>
    </row>
    <row r="72" spans="2:20" s="3" customFormat="1" ht="18" customHeight="1" thickTop="1" thickBot="1">
      <c r="B72" s="261"/>
      <c r="C72" s="32" t="s">
        <v>179</v>
      </c>
      <c r="D72" s="35">
        <f>+(D71-'Impo 2017'!D71)/'Impo 2017'!D71</f>
        <v>-0.17510414412420924</v>
      </c>
      <c r="E72" s="35">
        <f>+(E71-'Impo 2017'!E71)/'Impo 2017'!E71</f>
        <v>-0.51014923614726659</v>
      </c>
      <c r="F72" s="35">
        <f>+(F71-'Impo 2017'!F71)/'Impo 2017'!F71</f>
        <v>-0.34434698036444805</v>
      </c>
      <c r="G72" s="35">
        <f>+(G71-'Impo 2017'!G71)/'Impo 2017'!G71</f>
        <v>-0.27905085919795741</v>
      </c>
      <c r="H72" s="35">
        <f>+(H71-'Impo 2017'!H71)/'Impo 2017'!H71</f>
        <v>-0.37622390672251743</v>
      </c>
      <c r="I72" s="35">
        <f>+(I71-'Impo 2017'!I71)/'Impo 2017'!I71</f>
        <v>-0.25412868371957475</v>
      </c>
      <c r="J72" s="35">
        <f>+(J71-'Impo 2017'!J71)/'Impo 2017'!J71</f>
        <v>-0.27922323950004585</v>
      </c>
      <c r="K72" s="35">
        <f>+(K71-'Impo 2017'!K71)/'Impo 2017'!K71</f>
        <v>-0.23100469704071275</v>
      </c>
      <c r="L72" s="35">
        <f>+(L71-'Impo 2017'!L71)/'Impo 2017'!L71</f>
        <v>-0.45628629390681014</v>
      </c>
      <c r="M72" s="35">
        <f>+(M71-'Impo 2017'!M71)/'Impo 2017'!M71</f>
        <v>-2.086898270591123E-4</v>
      </c>
      <c r="N72" s="35">
        <f>+(N71-'Impo 2017'!N71)/'Impo 2017'!N71</f>
        <v>5.1215539272129157E-2</v>
      </c>
      <c r="O72" s="35">
        <f>+(O71-'Impo 2017'!O71)/'Impo 2017'!O71</f>
        <v>-1</v>
      </c>
      <c r="P72" s="139">
        <f ca="1">(P71-SUM('Impo 2017'!$D71:OFFSET('Impo 2017'!$D71,0,Índice!$Y$5)))/SUM('Impo 2017'!$D71:OFFSET('Impo 2017'!$D71,0,Índice!$Y$5))</f>
        <v>-0.26493361392656739</v>
      </c>
      <c r="R72" s="44"/>
    </row>
    <row r="73" spans="2:20" s="3" customFormat="1" ht="18" customHeight="1" thickTop="1" thickBot="1">
      <c r="B73" s="261" t="s">
        <v>7</v>
      </c>
      <c r="C73" s="29" t="s">
        <v>65</v>
      </c>
      <c r="D73" s="171">
        <v>3.3530919300000006</v>
      </c>
      <c r="E73" s="171">
        <v>2.7544616099999999</v>
      </c>
      <c r="F73" s="171">
        <v>15.211236390000002</v>
      </c>
      <c r="G73" s="171">
        <v>3.8837528199999998</v>
      </c>
      <c r="H73" s="34">
        <v>3.7778582000000007</v>
      </c>
      <c r="I73" s="34">
        <v>2.6649570199999997</v>
      </c>
      <c r="J73" s="34">
        <v>3.1478100000000002</v>
      </c>
      <c r="K73" s="34">
        <v>4.5288259999999996</v>
      </c>
      <c r="L73" s="34">
        <v>3.1514600000000002</v>
      </c>
      <c r="M73" s="34">
        <v>2.9136190000000002</v>
      </c>
      <c r="N73" s="34">
        <v>3.224726</v>
      </c>
      <c r="O73" s="34"/>
      <c r="P73" s="34">
        <f t="shared" ref="P73:P79" si="15">+SUM(D73:O73)</f>
        <v>48.611798969999995</v>
      </c>
      <c r="R73" s="44"/>
    </row>
    <row r="74" spans="2:20" s="3" customFormat="1" ht="18" customHeight="1" thickTop="1" thickBot="1">
      <c r="B74" s="261"/>
      <c r="C74" s="29" t="s">
        <v>59</v>
      </c>
      <c r="D74" s="171">
        <v>7.6251478800000001</v>
      </c>
      <c r="E74" s="171">
        <v>6.5098038500000008</v>
      </c>
      <c r="F74" s="171">
        <v>5.3331580999999995</v>
      </c>
      <c r="G74" s="171">
        <v>7.3080839099999961</v>
      </c>
      <c r="H74" s="34">
        <v>8.4589908400000002</v>
      </c>
      <c r="I74" s="34">
        <v>9.2338986600000013</v>
      </c>
      <c r="J74" s="34">
        <v>8.4142469999999996</v>
      </c>
      <c r="K74" s="34">
        <v>8.5935100000000002</v>
      </c>
      <c r="L74" s="34">
        <v>7.483822</v>
      </c>
      <c r="M74" s="34">
        <v>6.2083620000000002</v>
      </c>
      <c r="N74" s="34">
        <v>7.6305959999999997</v>
      </c>
      <c r="O74" s="34"/>
      <c r="P74" s="34">
        <f t="shared" si="15"/>
        <v>82.799620239999982</v>
      </c>
      <c r="R74" s="44"/>
    </row>
    <row r="75" spans="2:20" s="3" customFormat="1" ht="18" customHeight="1" thickTop="1" thickBot="1">
      <c r="B75" s="261"/>
      <c r="C75" s="29" t="s">
        <v>60</v>
      </c>
      <c r="D75" s="52">
        <v>0.18264228000000002</v>
      </c>
      <c r="E75" s="52">
        <v>0.13889023999999997</v>
      </c>
      <c r="F75" s="52">
        <v>4.2395910000000002E-2</v>
      </c>
      <c r="G75" s="52">
        <v>0.21601061000000002</v>
      </c>
      <c r="H75" s="52">
        <v>0.13108753999999995</v>
      </c>
      <c r="I75" s="52">
        <v>4.0798940000000006E-2</v>
      </c>
      <c r="J75" s="52">
        <v>0.20966899999999999</v>
      </c>
      <c r="K75" s="52">
        <v>0.12564400000000001</v>
      </c>
      <c r="L75" s="52">
        <v>0.10745399999999999</v>
      </c>
      <c r="M75" s="52">
        <v>0.123645</v>
      </c>
      <c r="N75" s="52">
        <v>0.16522300000000001</v>
      </c>
      <c r="O75" s="52"/>
      <c r="P75" s="34">
        <f t="shared" si="15"/>
        <v>1.4834605199999999</v>
      </c>
      <c r="R75" s="44"/>
    </row>
    <row r="76" spans="2:20" s="3" customFormat="1" ht="18" customHeight="1" thickTop="1" thickBot="1">
      <c r="B76" s="261"/>
      <c r="C76" s="29" t="s">
        <v>139</v>
      </c>
      <c r="D76" s="52">
        <f t="shared" ref="D76:P76" si="16">+D73+D74+D75</f>
        <v>11.160882090000001</v>
      </c>
      <c r="E76" s="52">
        <f t="shared" si="16"/>
        <v>9.403155700000001</v>
      </c>
      <c r="F76" s="52">
        <f t="shared" si="16"/>
        <v>20.586790400000002</v>
      </c>
      <c r="G76" s="52">
        <f t="shared" si="16"/>
        <v>11.407847339999995</v>
      </c>
      <c r="H76" s="52">
        <f t="shared" si="16"/>
        <v>12.36793658</v>
      </c>
      <c r="I76" s="52">
        <f t="shared" si="16"/>
        <v>11.939654620000001</v>
      </c>
      <c r="J76" s="52">
        <f t="shared" si="16"/>
        <v>11.771725999999999</v>
      </c>
      <c r="K76" s="52">
        <f t="shared" si="16"/>
        <v>13.24798</v>
      </c>
      <c r="L76" s="52">
        <f t="shared" si="16"/>
        <v>10.742736000000001</v>
      </c>
      <c r="M76" s="52">
        <f t="shared" si="16"/>
        <v>9.2456259999999997</v>
      </c>
      <c r="N76" s="52">
        <f t="shared" si="16"/>
        <v>11.020544999999998</v>
      </c>
      <c r="O76" s="52">
        <f t="shared" si="16"/>
        <v>0</v>
      </c>
      <c r="P76" s="34">
        <f t="shared" si="16"/>
        <v>132.89487972999996</v>
      </c>
      <c r="R76" s="44"/>
    </row>
    <row r="77" spans="2:20" s="3" customFormat="1" ht="18" customHeight="1" thickTop="1" thickBot="1">
      <c r="B77" s="261"/>
      <c r="C77" s="32" t="s">
        <v>179</v>
      </c>
      <c r="D77" s="35">
        <f>+(D76-'Impo 2017'!D76)/'Impo 2017'!D76</f>
        <v>0.16405078922914101</v>
      </c>
      <c r="E77" s="35">
        <f>+(E76-'Impo 2017'!E76)/'Impo 2017'!E76</f>
        <v>-0.12631265923107401</v>
      </c>
      <c r="F77" s="35">
        <f>+(F76-'Impo 2017'!F76)/'Impo 2017'!F76</f>
        <v>0.80934593404189403</v>
      </c>
      <c r="G77" s="35">
        <f>+(G76-'Impo 2017'!G76)/'Impo 2017'!G76</f>
        <v>-1.9126045311427552E-2</v>
      </c>
      <c r="H77" s="35">
        <f>+(H76-'Impo 2017'!H76)/'Impo 2017'!H76</f>
        <v>-3.3243124897225786E-2</v>
      </c>
      <c r="I77" s="35">
        <f>+(I76-'Impo 2017'!I76)/'Impo 2017'!I76</f>
        <v>-0.17797217326123113</v>
      </c>
      <c r="J77" s="35">
        <f>+(J76-'Impo 2017'!J76)/'Impo 2017'!J76</f>
        <v>2.6313680614928833E-2</v>
      </c>
      <c r="K77" s="35">
        <f>+(K76-'Impo 2017'!K76)/'Impo 2017'!K76</f>
        <v>0.21708702510217845</v>
      </c>
      <c r="L77" s="35">
        <f>+(L76-'Impo 2017'!L76)/'Impo 2017'!L76</f>
        <v>-0.16371479134358516</v>
      </c>
      <c r="M77" s="35">
        <f>+(M76-'Impo 2017'!M76)/'Impo 2017'!M76</f>
        <v>-0.25746350242516713</v>
      </c>
      <c r="N77" s="35">
        <f>+(N76-'Impo 2017'!N76)/'Impo 2017'!N76</f>
        <v>8.9026237358653421E-2</v>
      </c>
      <c r="O77" s="35">
        <f>+(O76-'Impo 2017'!O76)/'Impo 2017'!O76</f>
        <v>-1</v>
      </c>
      <c r="P77" s="139">
        <f ca="1">(P76-SUM('Impo 2017'!$D76:OFFSET('Impo 2017'!$D76,0,Índice!$Y$5)))/SUM('Impo 2017'!$D76:OFFSET('Impo 2017'!$D76,0,Índice!$Y$5))</f>
        <v>3.4616237517973755E-2</v>
      </c>
      <c r="R77" s="44"/>
    </row>
    <row r="78" spans="2:20" s="3" customFormat="1" ht="18" customHeight="1" thickTop="1" thickBot="1">
      <c r="B78" s="261" t="s">
        <v>3</v>
      </c>
      <c r="C78" s="29" t="s">
        <v>65</v>
      </c>
      <c r="D78" s="52">
        <v>0.32927299999999998</v>
      </c>
      <c r="E78" s="52">
        <v>5.8042000000000003E-2</v>
      </c>
      <c r="F78" s="52">
        <v>1.2889440000000001</v>
      </c>
      <c r="G78" s="52">
        <v>3.3625000000000002E-2</v>
      </c>
      <c r="H78" s="52">
        <v>2.8962000000000002E-2</v>
      </c>
      <c r="I78" s="171">
        <v>0.19342599999999999</v>
      </c>
      <c r="J78" s="171">
        <v>2.9737E-2</v>
      </c>
      <c r="K78" s="171">
        <v>1.152031</v>
      </c>
      <c r="L78" s="171">
        <v>0.46777999999999997</v>
      </c>
      <c r="M78" s="171">
        <v>5.5017000000000003E-2</v>
      </c>
      <c r="N78" s="170">
        <v>0.3</v>
      </c>
      <c r="O78" s="34"/>
      <c r="P78" s="34">
        <f>+SUM(D78:O78)</f>
        <v>3.9368369999999993</v>
      </c>
      <c r="Q78" s="2"/>
      <c r="R78" s="14"/>
      <c r="S78" s="2"/>
      <c r="T78" s="2"/>
    </row>
    <row r="79" spans="2:20" s="3" customFormat="1" ht="18" customHeight="1" thickTop="1" thickBot="1">
      <c r="B79" s="261"/>
      <c r="C79" s="29" t="s">
        <v>59</v>
      </c>
      <c r="D79" s="52">
        <v>2.4581019999999998</v>
      </c>
      <c r="E79" s="52">
        <v>0.937531</v>
      </c>
      <c r="F79" s="52">
        <v>0.46795799999999999</v>
      </c>
      <c r="G79" s="52">
        <v>1.4563900000000001</v>
      </c>
      <c r="H79" s="52">
        <v>0.103295</v>
      </c>
      <c r="I79" s="171">
        <v>0.28942899999999999</v>
      </c>
      <c r="J79" s="171">
        <v>0.18268200000000001</v>
      </c>
      <c r="K79" s="171">
        <v>2.3174E-2</v>
      </c>
      <c r="L79" s="171">
        <v>0.48661700000000002</v>
      </c>
      <c r="M79" s="171">
        <v>0.114907</v>
      </c>
      <c r="N79" s="170">
        <v>0.1</v>
      </c>
      <c r="O79" s="34"/>
      <c r="P79" s="34">
        <f t="shared" si="15"/>
        <v>6.6200849999999987</v>
      </c>
      <c r="Q79" s="2"/>
      <c r="R79" s="14"/>
      <c r="S79" s="2"/>
      <c r="T79" s="2"/>
    </row>
    <row r="80" spans="2:20" s="3" customFormat="1" ht="18" customHeight="1" thickTop="1" thickBot="1">
      <c r="B80" s="261"/>
      <c r="C80" s="29" t="s">
        <v>60</v>
      </c>
      <c r="D80" s="52">
        <v>1.440042</v>
      </c>
      <c r="E80" s="52">
        <v>7.3329420000000001</v>
      </c>
      <c r="F80" s="52">
        <v>1.9545459999999999</v>
      </c>
      <c r="G80" s="52">
        <v>1.967401</v>
      </c>
      <c r="H80" s="52">
        <v>3.0351680000000001</v>
      </c>
      <c r="I80" s="171">
        <v>0.198744</v>
      </c>
      <c r="J80" s="171">
        <v>2.0215239999999999</v>
      </c>
      <c r="K80" s="171">
        <v>1.6563319999999999</v>
      </c>
      <c r="L80" s="171">
        <v>2.0585559999999998</v>
      </c>
      <c r="M80" s="171">
        <v>2.1930149999999999</v>
      </c>
      <c r="N80" s="170">
        <v>2</v>
      </c>
      <c r="O80" s="34"/>
      <c r="P80" s="34">
        <f>+SUM(D80:O80)</f>
        <v>25.858270000000001</v>
      </c>
      <c r="Q80" s="2"/>
      <c r="R80" s="14"/>
      <c r="S80" s="2"/>
      <c r="T80" s="2"/>
    </row>
    <row r="81" spans="2:22" s="3" customFormat="1" ht="18" customHeight="1" thickTop="1" thickBot="1">
      <c r="B81" s="261"/>
      <c r="C81" s="29" t="s">
        <v>139</v>
      </c>
      <c r="D81" s="52">
        <f t="shared" ref="D81:P81" si="17">+D78+D79+D80</f>
        <v>4.227417</v>
      </c>
      <c r="E81" s="52">
        <f t="shared" si="17"/>
        <v>8.3285149999999994</v>
      </c>
      <c r="F81" s="52">
        <f t="shared" si="17"/>
        <v>3.7114479999999999</v>
      </c>
      <c r="G81" s="52">
        <f t="shared" si="17"/>
        <v>3.4574160000000003</v>
      </c>
      <c r="H81" s="52">
        <f t="shared" si="17"/>
        <v>3.1674250000000002</v>
      </c>
      <c r="I81" s="52">
        <f t="shared" si="17"/>
        <v>0.68159899999999995</v>
      </c>
      <c r="J81" s="52">
        <f t="shared" si="17"/>
        <v>2.233943</v>
      </c>
      <c r="K81" s="52">
        <f t="shared" si="17"/>
        <v>2.831537</v>
      </c>
      <c r="L81" s="52">
        <f t="shared" si="17"/>
        <v>3.0129529999999995</v>
      </c>
      <c r="M81" s="52">
        <f t="shared" si="17"/>
        <v>2.3629389999999999</v>
      </c>
      <c r="N81" s="53">
        <f t="shared" si="17"/>
        <v>2.4</v>
      </c>
      <c r="O81" s="52">
        <f t="shared" si="17"/>
        <v>0</v>
      </c>
      <c r="P81" s="34">
        <f t="shared" si="17"/>
        <v>36.415191999999998</v>
      </c>
      <c r="Q81" s="2"/>
      <c r="R81" s="14"/>
      <c r="S81" s="12"/>
      <c r="T81" s="61"/>
    </row>
    <row r="82" spans="2:22" s="3" customFormat="1" ht="18" customHeight="1" thickTop="1" thickBot="1">
      <c r="B82" s="261"/>
      <c r="C82" s="32" t="s">
        <v>179</v>
      </c>
      <c r="D82" s="35">
        <f>+(D81-'Impo 2017'!D81)/'Impo 2017'!D81</f>
        <v>-0.58756412394021906</v>
      </c>
      <c r="E82" s="35">
        <f>+(E81-'Impo 2017'!E81)/'Impo 2017'!E81</f>
        <v>0.18983630047794792</v>
      </c>
      <c r="F82" s="35">
        <f>+(F81-'Impo 2017'!F81)/'Impo 2017'!F81</f>
        <v>-0.76783149766577141</v>
      </c>
      <c r="G82" s="35">
        <f>+(G81-'Impo 2017'!G81)/'Impo 2017'!G81</f>
        <v>-0.64024852641383945</v>
      </c>
      <c r="H82" s="35">
        <f>+(H81-'Impo 2017'!H81)/'Impo 2017'!H81</f>
        <v>-0.71917157954410649</v>
      </c>
      <c r="I82" s="35">
        <f>+(I81-'Impo 2017'!I81)/'Impo 2017'!I81</f>
        <v>-0.9631836012086773</v>
      </c>
      <c r="J82" s="35">
        <f>+(J81-'Impo 2017'!J81)/'Impo 2017'!J81</f>
        <v>-0.62646323052003705</v>
      </c>
      <c r="K82" s="35">
        <f>+(K81-'Impo 2017'!K81)/'Impo 2017'!K81</f>
        <v>-0.6344903158948616</v>
      </c>
      <c r="L82" s="35">
        <f>+(L81-'Impo 2017'!L81)/'Impo 2017'!L81</f>
        <v>0.2727892176638691</v>
      </c>
      <c r="M82" s="35">
        <f>+(M81-'Impo 2017'!M81)/'Impo 2017'!M81</f>
        <v>-0.44566821811630236</v>
      </c>
      <c r="N82" s="172">
        <f>+(N81-'Impo 2017'!N81)/'Impo 2017'!N81</f>
        <v>-0.6</v>
      </c>
      <c r="O82" s="35">
        <f>+(O81-'Impo 2017'!O81)/'Impo 2017'!O81</f>
        <v>-1</v>
      </c>
      <c r="P82" s="139">
        <f ca="1">(P81-SUM('Impo 2017'!$D81:OFFSET('Impo 2017'!$D81,0,Índice!$Y$5)))/SUM('Impo 2017'!$D81:OFFSET('Impo 2017'!$D81,0,Índice!$Y$5))</f>
        <v>-0.63215385264052959</v>
      </c>
      <c r="Q82" s="2"/>
      <c r="R82" s="14"/>
      <c r="S82" s="2"/>
      <c r="T82" s="67"/>
    </row>
    <row r="83" spans="2:22" ht="18" customHeight="1" thickTop="1" thickBot="1">
      <c r="B83" s="261" t="s">
        <v>61</v>
      </c>
      <c r="C83" s="29" t="s">
        <v>65</v>
      </c>
      <c r="D83" s="34">
        <f>+D3+D8+D13+D18+D23+D28+D33+D38+D43+D48+D53+D58+D63+D68+D73+D78</f>
        <v>528.87074917091991</v>
      </c>
      <c r="E83" s="34">
        <f t="shared" ref="E83:P85" si="18">+E3+E8+E13+E18+E23+E28+E33+E38+E43+E48+E53+E58+E63+E68+E73+E78</f>
        <v>483.74111849630003</v>
      </c>
      <c r="F83" s="34">
        <f t="shared" si="18"/>
        <v>450.92244755479999</v>
      </c>
      <c r="G83" s="34">
        <f t="shared" si="18"/>
        <v>572.21617539474994</v>
      </c>
      <c r="H83" s="34">
        <f t="shared" si="18"/>
        <v>619.6845184445998</v>
      </c>
      <c r="I83" s="34">
        <f t="shared" si="18"/>
        <v>556.60532968080031</v>
      </c>
      <c r="J83" s="34">
        <f t="shared" si="18"/>
        <v>579.98590973780006</v>
      </c>
      <c r="K83" s="34">
        <f t="shared" si="18"/>
        <v>589.33847352359999</v>
      </c>
      <c r="L83" s="34">
        <f t="shared" si="18"/>
        <v>487.15299059269995</v>
      </c>
      <c r="M83" s="34">
        <f t="shared" si="18"/>
        <v>521.73767972730002</v>
      </c>
      <c r="N83" s="34">
        <f t="shared" si="18"/>
        <v>478.47984412999978</v>
      </c>
      <c r="O83" s="34">
        <f t="shared" si="18"/>
        <v>0</v>
      </c>
      <c r="P83" s="34">
        <f t="shared" si="18"/>
        <v>5868.7352364535691</v>
      </c>
      <c r="Q83" s="34"/>
      <c r="R83" s="71"/>
      <c r="S83" s="3"/>
      <c r="T83" s="3"/>
      <c r="U83" s="61"/>
      <c r="V83" s="14">
        <f>(P83-'Impo 2015'!I91)/'Impo 2015'!I91</f>
        <v>1.1629166936441828</v>
      </c>
    </row>
    <row r="84" spans="2:22" ht="18" customHeight="1" thickTop="1" thickBot="1">
      <c r="B84" s="261"/>
      <c r="C84" s="29" t="s">
        <v>59</v>
      </c>
      <c r="D84" s="34">
        <f t="shared" ref="D84:O85" si="19">+D4+D9+D14+D19+D24+D29+D34+D39+D44+D49+D54+D59+D64+D69+D74+D79</f>
        <v>1435.3696895836001</v>
      </c>
      <c r="E84" s="34">
        <f t="shared" si="19"/>
        <v>1144.6524434850999</v>
      </c>
      <c r="F84" s="34">
        <f t="shared" si="19"/>
        <v>1388.5949047716001</v>
      </c>
      <c r="G84" s="34">
        <f t="shared" si="19"/>
        <v>1460.0874113201501</v>
      </c>
      <c r="H84" s="34">
        <f t="shared" si="19"/>
        <v>1529.5539136619</v>
      </c>
      <c r="I84" s="34">
        <f t="shared" si="19"/>
        <v>1336.8235818146998</v>
      </c>
      <c r="J84" s="34">
        <f t="shared" si="19"/>
        <v>1260.7797551908002</v>
      </c>
      <c r="K84" s="34">
        <f t="shared" si="19"/>
        <v>1480.9138327323196</v>
      </c>
      <c r="L84" s="34">
        <f t="shared" si="19"/>
        <v>1264.7680283824998</v>
      </c>
      <c r="M84" s="34">
        <f t="shared" si="19"/>
        <v>1406.6030038225999</v>
      </c>
      <c r="N84" s="34">
        <f t="shared" si="19"/>
        <v>1364.1588442699999</v>
      </c>
      <c r="O84" s="34">
        <f t="shared" si="19"/>
        <v>0</v>
      </c>
      <c r="P84" s="34">
        <f t="shared" si="18"/>
        <v>15072.305409035269</v>
      </c>
      <c r="Q84" s="5"/>
      <c r="R84" s="71"/>
      <c r="S84" s="3"/>
      <c r="T84" s="3"/>
      <c r="U84" s="61"/>
      <c r="V84" s="14">
        <f>(P84-'Impo 2015'!I92)/'Impo 2015'!I92</f>
        <v>1.5312867211083918</v>
      </c>
    </row>
    <row r="85" spans="2:22" ht="18" customHeight="1" thickTop="1" thickBot="1">
      <c r="B85" s="261"/>
      <c r="C85" s="29" t="s">
        <v>60</v>
      </c>
      <c r="D85" s="34">
        <f t="shared" si="19"/>
        <v>41.942436460499998</v>
      </c>
      <c r="E85" s="34">
        <f t="shared" si="19"/>
        <v>46.138886307000007</v>
      </c>
      <c r="F85" s="34">
        <f t="shared" si="19"/>
        <v>53.584098043099978</v>
      </c>
      <c r="G85" s="34">
        <f t="shared" si="19"/>
        <v>51.731644256000003</v>
      </c>
      <c r="H85" s="34">
        <f t="shared" si="19"/>
        <v>65.627523381100005</v>
      </c>
      <c r="I85" s="34">
        <f t="shared" si="19"/>
        <v>48.049379353499987</v>
      </c>
      <c r="J85" s="34">
        <f t="shared" si="19"/>
        <v>60.371287302599995</v>
      </c>
      <c r="K85" s="34">
        <f t="shared" si="19"/>
        <v>43.893763191020007</v>
      </c>
      <c r="L85" s="34">
        <f t="shared" si="19"/>
        <v>56.048357501200002</v>
      </c>
      <c r="M85" s="34">
        <f t="shared" si="19"/>
        <v>69.694511719200008</v>
      </c>
      <c r="N85" s="34">
        <f t="shared" si="19"/>
        <v>51.615299950000008</v>
      </c>
      <c r="O85" s="34">
        <f t="shared" si="19"/>
        <v>0</v>
      </c>
      <c r="P85" s="34">
        <f t="shared" si="18"/>
        <v>588.69718746521994</v>
      </c>
      <c r="Q85" s="5"/>
      <c r="R85" s="71"/>
      <c r="S85" s="36"/>
      <c r="T85" s="3"/>
      <c r="U85" s="61"/>
      <c r="V85" s="14">
        <f>(P85-'Impo 2015'!I93)/'Impo 2015'!I93</f>
        <v>-3.3121287656137456E-2</v>
      </c>
    </row>
    <row r="86" spans="2:22" ht="18" customHeight="1" thickTop="1" thickBot="1">
      <c r="B86" s="261"/>
      <c r="C86" s="29" t="s">
        <v>139</v>
      </c>
      <c r="D86" s="34">
        <f>+D83+D84+D85</f>
        <v>2006.18287521502</v>
      </c>
      <c r="E86" s="34">
        <f t="shared" ref="E86:O86" si="20">+E83+E84+E85</f>
        <v>1674.5324482883998</v>
      </c>
      <c r="F86" s="34">
        <f t="shared" si="20"/>
        <v>1893.1014503695003</v>
      </c>
      <c r="G86" s="34">
        <f t="shared" si="20"/>
        <v>2084.0352309709001</v>
      </c>
      <c r="H86" s="34">
        <f t="shared" si="20"/>
        <v>2214.8659554875999</v>
      </c>
      <c r="I86" s="34">
        <f t="shared" si="20"/>
        <v>1941.4782908489999</v>
      </c>
      <c r="J86" s="34">
        <f t="shared" si="20"/>
        <v>1901.1369522312002</v>
      </c>
      <c r="K86" s="34">
        <f t="shared" si="20"/>
        <v>2114.1460694469392</v>
      </c>
      <c r="L86" s="34">
        <f t="shared" si="20"/>
        <v>1807.9693764763997</v>
      </c>
      <c r="M86" s="34">
        <f t="shared" si="20"/>
        <v>1998.0351952690999</v>
      </c>
      <c r="N86" s="34">
        <f t="shared" si="20"/>
        <v>1894.2539883499996</v>
      </c>
      <c r="O86" s="34">
        <f t="shared" si="20"/>
        <v>0</v>
      </c>
      <c r="P86" s="34">
        <f>+P83+P84+P85</f>
        <v>21529.737832954055</v>
      </c>
      <c r="Q86" s="5"/>
      <c r="R86" s="71"/>
      <c r="S86" s="63"/>
      <c r="T86" s="62"/>
      <c r="V86" s="14">
        <f>(P86-'Impo 2015'!I94)/'Impo 2015'!I94</f>
        <v>1.3208623311860495</v>
      </c>
    </row>
    <row r="87" spans="2:22" ht="18" customHeight="1" thickTop="1" thickBot="1">
      <c r="B87" s="261"/>
      <c r="C87" s="32" t="s">
        <v>179</v>
      </c>
      <c r="D87" s="35">
        <f>+(D86-'Impo 2017'!D86)/'Impo 2017'!D86</f>
        <v>-7.1566161536150738E-2</v>
      </c>
      <c r="E87" s="35">
        <f>+(E86-'Impo 2017'!E86)/'Impo 2017'!E86</f>
        <v>-7.1642706904510994E-2</v>
      </c>
      <c r="F87" s="35">
        <f>+(F86-'Impo 2017'!F86)/'Impo 2017'!F86</f>
        <v>-0.19876469014455833</v>
      </c>
      <c r="G87" s="35">
        <f>+(G86-'Impo 2017'!G86)/'Impo 2017'!G86</f>
        <v>-4.9400739210839909E-3</v>
      </c>
      <c r="H87" s="35">
        <f>+(H86-'Impo 2017'!H86)/'Impo 2017'!H86</f>
        <v>-5.1982577630536236E-2</v>
      </c>
      <c r="I87" s="35">
        <f>+(I86-'Impo 2017'!I86)/'Impo 2017'!I86</f>
        <v>-0.15289805868319992</v>
      </c>
      <c r="J87" s="35">
        <f>+(J86-'Impo 2017'!J86)/'Impo 2017'!J86</f>
        <v>-8.5536221968994006E-2</v>
      </c>
      <c r="K87" s="35">
        <f>+(K86-'Impo 2017'!K86)/'Impo 2017'!K86</f>
        <v>-6.0556320807018837E-2</v>
      </c>
      <c r="L87" s="35">
        <f>+(L86-'Impo 2017'!L86)/'Impo 2017'!L86</f>
        <v>-0.13728181368275341</v>
      </c>
      <c r="M87" s="35">
        <f>+(M86-'Impo 2017'!M86)/'Impo 2017'!M86</f>
        <v>-4.0536883695604986E-2</v>
      </c>
      <c r="N87" s="35"/>
      <c r="O87" s="35">
        <f>+(O86-'Impo 2017'!O86)/'Impo 2017'!O86</f>
        <v>-1</v>
      </c>
      <c r="P87" s="139">
        <f ca="1">(P86-SUM('Impo 2017'!$D86:OFFSET('Impo 2017'!$D86,0,Índice!$Y$5)))/SUM('Impo 2017'!$D86:OFFSET('Impo 2017'!$D86,0,Índice!$Y$5))</f>
        <v>-7.7645511448452942E-2</v>
      </c>
      <c r="Q87" s="6"/>
      <c r="R87" s="14"/>
      <c r="S87" s="64"/>
    </row>
    <row r="88" spans="2:22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4"/>
    </row>
    <row r="89" spans="2:22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2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2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2" ht="18" customHeight="1">
      <c r="B92" s="36" t="s">
        <v>92</v>
      </c>
    </row>
    <row r="93" spans="2:22">
      <c r="C93" s="224"/>
      <c r="D93" s="224"/>
      <c r="E93" s="224"/>
      <c r="F93" s="224"/>
      <c r="G93" s="224"/>
      <c r="H93" s="224"/>
      <c r="I93" s="224"/>
      <c r="P93" s="14"/>
    </row>
    <row r="94" spans="2:22">
      <c r="C94" s="224"/>
      <c r="D94" s="225">
        <f>+'Impo 2017'!D86</f>
        <v>2160.8248128206665</v>
      </c>
      <c r="E94" s="225">
        <f>+'Impo 2017'!E86</f>
        <v>1803.7585967627667</v>
      </c>
      <c r="F94" s="225">
        <f>+'Impo 2017'!F86</f>
        <v>2362.7284358087668</v>
      </c>
      <c r="G94" s="225">
        <f>+'Impo 2017'!G86</f>
        <v>2094.3816310472339</v>
      </c>
      <c r="H94" s="225">
        <f>+'Impo 2017'!H86</f>
        <v>2336.3135562970874</v>
      </c>
      <c r="I94" s="225">
        <f>+'Impo 2017'!I86</f>
        <v>2291.9063174746329</v>
      </c>
      <c r="J94" s="14"/>
      <c r="K94" s="14"/>
      <c r="L94" s="14"/>
      <c r="M94" s="14"/>
      <c r="N94" s="14"/>
      <c r="O94" s="14"/>
      <c r="P94" s="14"/>
    </row>
    <row r="95" spans="2:22">
      <c r="C95" s="224"/>
      <c r="D95" s="188"/>
      <c r="E95" s="188"/>
      <c r="F95" s="188"/>
      <c r="G95" s="188"/>
      <c r="H95" s="188"/>
      <c r="I95" s="188"/>
      <c r="J95" s="14"/>
      <c r="K95" s="14"/>
      <c r="L95" s="14"/>
      <c r="M95" s="14"/>
      <c r="N95" s="14"/>
      <c r="O95" s="14"/>
      <c r="P95" s="14"/>
    </row>
    <row r="96" spans="2:22">
      <c r="C96" s="224"/>
      <c r="D96" s="188"/>
      <c r="E96" s="188"/>
      <c r="F96" s="188"/>
      <c r="G96" s="188"/>
      <c r="H96" s="188"/>
      <c r="I96" s="226">
        <f>+SUM(D94:I94)</f>
        <v>13049.913350211154</v>
      </c>
      <c r="J96" s="14"/>
      <c r="K96" s="14"/>
      <c r="L96" s="14"/>
      <c r="M96" s="14"/>
      <c r="N96" s="14"/>
      <c r="O96" s="14"/>
      <c r="P96" s="14"/>
    </row>
    <row r="97" spans="3:9">
      <c r="C97" s="224"/>
      <c r="D97" s="224"/>
      <c r="E97" s="224"/>
      <c r="F97" s="224"/>
      <c r="G97" s="224"/>
      <c r="H97" s="224"/>
      <c r="I97" s="223">
        <f>+I96-P86</f>
        <v>-8479.8244827429007</v>
      </c>
    </row>
    <row r="98" spans="3:9">
      <c r="C98" s="224"/>
      <c r="D98" s="224"/>
      <c r="E98" s="224"/>
      <c r="F98" s="224"/>
      <c r="G98" s="224"/>
      <c r="H98" s="224"/>
      <c r="I98" s="227">
        <f>+I97/I96</f>
        <v>-0.6497992940777414</v>
      </c>
    </row>
    <row r="99" spans="3:9">
      <c r="C99" s="224"/>
      <c r="D99" s="224"/>
      <c r="E99" s="224"/>
      <c r="F99" s="224"/>
      <c r="G99" s="224"/>
      <c r="H99" s="224"/>
      <c r="I99" s="224"/>
    </row>
    <row r="100" spans="3:9">
      <c r="C100" s="224"/>
      <c r="D100" s="224"/>
      <c r="E100" s="224"/>
      <c r="F100" s="224"/>
      <c r="G100" s="224"/>
      <c r="H100" s="224"/>
      <c r="I100" s="224"/>
    </row>
    <row r="101" spans="3:9">
      <c r="C101" s="224"/>
      <c r="D101" s="224"/>
      <c r="E101" s="224"/>
      <c r="F101" s="224"/>
      <c r="G101" s="224"/>
      <c r="H101" s="224"/>
      <c r="I101" s="224"/>
    </row>
    <row r="102" spans="3:9">
      <c r="C102" s="224"/>
      <c r="D102" s="224"/>
      <c r="E102" s="224"/>
      <c r="F102" s="224"/>
      <c r="G102" s="224"/>
      <c r="H102" s="224"/>
      <c r="I102" s="224"/>
    </row>
  </sheetData>
  <mergeCells count="17">
    <mergeCell ref="B63:B67"/>
    <mergeCell ref="B68:B72"/>
    <mergeCell ref="B73:B77"/>
    <mergeCell ref="B78:B82"/>
    <mergeCell ref="B83:B87"/>
    <mergeCell ref="B58:B6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</mergeCells>
  <hyperlinks>
    <hyperlink ref="P1" location="Índice!A1" display="Í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V96"/>
  <sheetViews>
    <sheetView zoomScale="70" zoomScaleNormal="70" zoomScaleSheetLayoutView="90" workbookViewId="0">
      <selection activeCell="B63" sqref="B63:B67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6384" width="11.42578125" style="2"/>
  </cols>
  <sheetData>
    <row r="1" spans="2:20" s="8" customFormat="1" ht="38.25" customHeight="1" thickBot="1">
      <c r="B1" s="22" t="s">
        <v>161</v>
      </c>
      <c r="P1" s="87" t="s">
        <v>111</v>
      </c>
    </row>
    <row r="2" spans="2:20" ht="30" customHeight="1" thickTop="1">
      <c r="B2" s="33" t="s">
        <v>36</v>
      </c>
      <c r="C2" s="21" t="s">
        <v>23</v>
      </c>
      <c r="D2" s="141" t="s">
        <v>27</v>
      </c>
      <c r="E2" s="142" t="s">
        <v>28</v>
      </c>
      <c r="F2" s="142" t="s">
        <v>26</v>
      </c>
      <c r="G2" s="142" t="s">
        <v>22</v>
      </c>
      <c r="H2" s="142" t="s">
        <v>29</v>
      </c>
      <c r="I2" s="142" t="s">
        <v>30</v>
      </c>
      <c r="J2" s="142" t="s">
        <v>31</v>
      </c>
      <c r="K2" s="142" t="s">
        <v>32</v>
      </c>
      <c r="L2" s="142" t="s">
        <v>33</v>
      </c>
      <c r="M2" s="142" t="s">
        <v>24</v>
      </c>
      <c r="N2" s="142" t="s">
        <v>34</v>
      </c>
      <c r="O2" s="142" t="s">
        <v>35</v>
      </c>
      <c r="P2" s="141" t="s">
        <v>25</v>
      </c>
      <c r="R2" s="36" t="s">
        <v>181</v>
      </c>
    </row>
    <row r="3" spans="2:20" ht="18" customHeight="1" thickBot="1">
      <c r="B3" s="259" t="s">
        <v>0</v>
      </c>
      <c r="C3" s="29" t="s">
        <v>65</v>
      </c>
      <c r="D3" s="34">
        <v>13.904</v>
      </c>
      <c r="E3" s="34">
        <v>20.939</v>
      </c>
      <c r="F3" s="34">
        <v>30.611999999999998</v>
      </c>
      <c r="G3" s="34">
        <v>42.091000000000001</v>
      </c>
      <c r="H3" s="34">
        <v>40.738</v>
      </c>
      <c r="I3" s="34">
        <v>34.451000000000001</v>
      </c>
      <c r="J3" s="34">
        <v>13.311</v>
      </c>
      <c r="K3" s="34">
        <v>46.857999999999997</v>
      </c>
      <c r="L3" s="34">
        <v>19.309000000000001</v>
      </c>
      <c r="M3" s="34">
        <v>20.407</v>
      </c>
      <c r="N3" s="34">
        <v>22.739000000000001</v>
      </c>
      <c r="O3" s="34">
        <v>27.536999999999999</v>
      </c>
      <c r="P3" s="34">
        <f>+SUM(D3:O3)</f>
        <v>332.89599999999996</v>
      </c>
      <c r="R3" s="14"/>
      <c r="T3" s="7"/>
    </row>
    <row r="4" spans="2:20" ht="18" customHeight="1" thickTop="1" thickBot="1">
      <c r="B4" s="260"/>
      <c r="C4" s="29" t="s">
        <v>59</v>
      </c>
      <c r="D4" s="34">
        <v>42.536000000000001</v>
      </c>
      <c r="E4" s="34">
        <v>29.199000000000002</v>
      </c>
      <c r="F4" s="34">
        <v>50.984000000000002</v>
      </c>
      <c r="G4" s="34">
        <v>52.362000000000002</v>
      </c>
      <c r="H4" s="34">
        <v>37.698</v>
      </c>
      <c r="I4" s="34">
        <v>52.454999999999998</v>
      </c>
      <c r="J4" s="34">
        <v>41.087000000000003</v>
      </c>
      <c r="K4" s="34">
        <v>67.8</v>
      </c>
      <c r="L4" s="34">
        <v>65.563999999999993</v>
      </c>
      <c r="M4" s="34">
        <v>108.958</v>
      </c>
      <c r="N4" s="34">
        <v>57.759</v>
      </c>
      <c r="O4" s="34">
        <v>55.902000000000001</v>
      </c>
      <c r="P4" s="34">
        <f>+SUM(D4:O4)</f>
        <v>662.30399999999997</v>
      </c>
      <c r="R4" s="14"/>
      <c r="T4" s="7"/>
    </row>
    <row r="5" spans="2:20" ht="18" customHeight="1" thickTop="1" thickBot="1">
      <c r="B5" s="260"/>
      <c r="C5" s="29" t="s">
        <v>60</v>
      </c>
      <c r="D5" s="52">
        <v>1.58711559</v>
      </c>
      <c r="E5" s="52">
        <v>1.5228009999999998</v>
      </c>
      <c r="F5" s="52">
        <v>1.6950000000000001</v>
      </c>
      <c r="G5" s="34">
        <v>1.56</v>
      </c>
      <c r="H5" s="34">
        <v>1.369</v>
      </c>
      <c r="I5" s="34">
        <v>1.9590000000000001</v>
      </c>
      <c r="J5" s="34">
        <v>2.5219999999999998</v>
      </c>
      <c r="K5" s="34">
        <v>2.5880000000000001</v>
      </c>
      <c r="L5" s="34">
        <v>3.1815880000000001</v>
      </c>
      <c r="M5" s="34">
        <v>3.0750000000000002</v>
      </c>
      <c r="N5" s="34">
        <v>3.1299881000000038</v>
      </c>
      <c r="O5" s="34">
        <v>2.0945344579999996</v>
      </c>
      <c r="P5" s="34">
        <f>+SUM(D5:O5)</f>
        <v>26.284027148</v>
      </c>
      <c r="R5" s="14"/>
      <c r="T5" s="7"/>
    </row>
    <row r="6" spans="2:20" ht="18" customHeight="1" thickTop="1" thickBot="1">
      <c r="B6" s="260"/>
      <c r="C6" s="29" t="s">
        <v>139</v>
      </c>
      <c r="D6" s="52">
        <f>+D3+D4+D5</f>
        <v>58.027115590000001</v>
      </c>
      <c r="E6" s="52">
        <f t="shared" ref="E6:O6" si="0">+E3+E4+E5</f>
        <v>51.660801000000006</v>
      </c>
      <c r="F6" s="52">
        <f>+F3+F4+F5</f>
        <v>83.290999999999997</v>
      </c>
      <c r="G6" s="52">
        <f t="shared" si="0"/>
        <v>96.013000000000005</v>
      </c>
      <c r="H6" s="52">
        <f t="shared" si="0"/>
        <v>79.805000000000007</v>
      </c>
      <c r="I6" s="52">
        <f t="shared" si="0"/>
        <v>88.865000000000009</v>
      </c>
      <c r="J6" s="52">
        <f t="shared" si="0"/>
        <v>56.92</v>
      </c>
      <c r="K6" s="52">
        <f t="shared" si="0"/>
        <v>117.24599999999998</v>
      </c>
      <c r="L6" s="52">
        <f t="shared" si="0"/>
        <v>88.054587999999995</v>
      </c>
      <c r="M6" s="52">
        <f t="shared" si="0"/>
        <v>132.44</v>
      </c>
      <c r="N6" s="52">
        <f t="shared" si="0"/>
        <v>83.62798810000001</v>
      </c>
      <c r="O6" s="52">
        <f t="shared" si="0"/>
        <v>85.533534457999991</v>
      </c>
      <c r="P6" s="34">
        <f>+P3+P4+P5</f>
        <v>1021.4840271479999</v>
      </c>
      <c r="R6" s="46">
        <f>+D6</f>
        <v>58.027115590000001</v>
      </c>
    </row>
    <row r="7" spans="2:20" ht="18" customHeight="1" thickTop="1" thickBot="1">
      <c r="B7" s="260"/>
      <c r="C7" s="32" t="s">
        <v>156</v>
      </c>
      <c r="D7" s="35">
        <f>+(D6-'Impo 2016'!D6)/'Impo 2016'!D6</f>
        <v>0.19863531834889075</v>
      </c>
      <c r="E7" s="35">
        <f>+(E6-'Impo 2016'!E6)/'Impo 2016'!E6</f>
        <v>-9.2788805187860347E-3</v>
      </c>
      <c r="F7" s="35">
        <f>+(F6-'Impo 2016'!F6)/'Impo 2016'!F6</f>
        <v>0.18590954568833698</v>
      </c>
      <c r="G7" s="35">
        <f>+(G6-'Impo 2016'!G6)/'Impo 2016'!G6</f>
        <v>0.34118480244494803</v>
      </c>
      <c r="H7" s="35">
        <f>+(H6-'Impo 2016'!H6)/'Impo 2016'!H6</f>
        <v>0.50975059667403777</v>
      </c>
      <c r="I7" s="35">
        <f>+(I6-'Impo 2016'!I6)/'Impo 2016'!I6</f>
        <v>1.4898723172153585</v>
      </c>
      <c r="J7" s="35">
        <f>+(J6-'Impo 2016'!J6)/'Impo 2016'!J6</f>
        <v>0.43880832155753069</v>
      </c>
      <c r="K7" s="35">
        <f>+(K6-'Impo 2016'!K6)/'Impo 2016'!K6</f>
        <v>2.4966448081720891</v>
      </c>
      <c r="L7" s="35">
        <f>+(L6-'Impo 2016'!L6)/'Impo 2016'!L6</f>
        <v>0.89016893601880298</v>
      </c>
      <c r="M7" s="35">
        <f>+(M6-'Impo 2016'!M6)/'Impo 2016'!M6</f>
        <v>1.5567381448876507</v>
      </c>
      <c r="N7" s="35">
        <f>+(N6-'Impo 2016'!N6)/'Impo 2016'!N6</f>
        <v>1.5418812109105944</v>
      </c>
      <c r="O7" s="35">
        <f>+(O6-'Impo 2016'!O6)/'Impo 2016'!O6</f>
        <v>1.2782617889627841</v>
      </c>
      <c r="P7" s="35">
        <f>+(P6-'Impo 2016'!R6)/'Impo 2016'!R6</f>
        <v>0.78316511533089894</v>
      </c>
      <c r="Q7" s="35"/>
      <c r="R7" s="14"/>
    </row>
    <row r="8" spans="2:20" ht="18" customHeight="1" thickTop="1" thickBot="1">
      <c r="B8" s="260" t="s">
        <v>77</v>
      </c>
      <c r="C8" s="29" t="s">
        <v>65</v>
      </c>
      <c r="D8" s="171">
        <v>32.836265120000007</v>
      </c>
      <c r="E8" s="171">
        <v>24.806788820000008</v>
      </c>
      <c r="F8" s="171">
        <v>38.760597209999979</v>
      </c>
      <c r="G8" s="171">
        <v>34.131918389999996</v>
      </c>
      <c r="H8" s="171">
        <v>33.787531550000011</v>
      </c>
      <c r="I8" s="171">
        <v>19.102139709999989</v>
      </c>
      <c r="J8" s="171">
        <v>23.195404149999995</v>
      </c>
      <c r="K8" s="171">
        <v>40.691299489999999</v>
      </c>
      <c r="L8" s="171">
        <v>24.714487120000001</v>
      </c>
      <c r="M8" s="171">
        <v>35.441604990000002</v>
      </c>
      <c r="N8" s="171">
        <v>29.989856410000005</v>
      </c>
      <c r="O8" s="171">
        <v>32.957754380000004</v>
      </c>
      <c r="P8" s="34">
        <f>+SUM(D8:O8)</f>
        <v>370.41564733999996</v>
      </c>
      <c r="R8" s="14"/>
    </row>
    <row r="9" spans="2:20" ht="18" customHeight="1" thickTop="1" thickBot="1">
      <c r="B9" s="260"/>
      <c r="C9" s="29" t="s">
        <v>59</v>
      </c>
      <c r="D9" s="171">
        <v>21.446198619999979</v>
      </c>
      <c r="E9" s="171">
        <v>13.785400400000002</v>
      </c>
      <c r="F9" s="171">
        <v>16.842464560000003</v>
      </c>
      <c r="G9" s="171">
        <v>6.2525143599999993</v>
      </c>
      <c r="H9" s="171">
        <v>15.490044399999997</v>
      </c>
      <c r="I9" s="171">
        <v>7.7955251999999993</v>
      </c>
      <c r="J9" s="171">
        <v>8.2266197999999982</v>
      </c>
      <c r="K9" s="171">
        <v>11.544128959999997</v>
      </c>
      <c r="L9" s="171">
        <v>7.1857904699999997</v>
      </c>
      <c r="M9" s="171">
        <v>19.189411350000004</v>
      </c>
      <c r="N9" s="171">
        <v>8.5218448600000034</v>
      </c>
      <c r="O9" s="171">
        <v>12.458998089999998</v>
      </c>
      <c r="P9" s="34">
        <f>+SUM(D9:O9)</f>
        <v>148.73894106999998</v>
      </c>
      <c r="R9" s="14"/>
    </row>
    <row r="10" spans="2:20" ht="18" customHeight="1" thickTop="1" thickBot="1">
      <c r="B10" s="260"/>
      <c r="C10" s="29" t="s">
        <v>60</v>
      </c>
      <c r="D10" s="171">
        <v>0.42006962999999997</v>
      </c>
      <c r="E10" s="171">
        <v>0.39739514000000009</v>
      </c>
      <c r="F10" s="171">
        <v>2.1638541899999999</v>
      </c>
      <c r="G10" s="171">
        <v>2.2017194700000005</v>
      </c>
      <c r="H10" s="171">
        <v>1.1287131400000001</v>
      </c>
      <c r="I10" s="171">
        <v>1.4237449900000003</v>
      </c>
      <c r="J10" s="171">
        <v>0.80634118000000021</v>
      </c>
      <c r="K10" s="171">
        <v>1.0946837200000001</v>
      </c>
      <c r="L10" s="171">
        <v>1.2764205399999997</v>
      </c>
      <c r="M10" s="171">
        <v>1.1190685200000001</v>
      </c>
      <c r="N10" s="171">
        <v>1.2580625400000001</v>
      </c>
      <c r="O10" s="171">
        <v>1.1695638300000004</v>
      </c>
      <c r="P10" s="34">
        <f>+SUM(D10:O10)</f>
        <v>14.459636890000002</v>
      </c>
      <c r="R10" s="14"/>
    </row>
    <row r="11" spans="2:20" ht="18" customHeight="1" thickTop="1" thickBot="1">
      <c r="B11" s="260"/>
      <c r="C11" s="29" t="s">
        <v>139</v>
      </c>
      <c r="D11" s="52">
        <f t="shared" ref="D11:P11" si="1">+D8+D9+D10</f>
        <v>54.702533369999983</v>
      </c>
      <c r="E11" s="52">
        <f t="shared" si="1"/>
        <v>38.989584360000009</v>
      </c>
      <c r="F11" s="52">
        <f t="shared" si="1"/>
        <v>57.766915959999984</v>
      </c>
      <c r="G11" s="52">
        <f t="shared" si="1"/>
        <v>42.586152219999995</v>
      </c>
      <c r="H11" s="52">
        <f t="shared" si="1"/>
        <v>50.406289090000008</v>
      </c>
      <c r="I11" s="52">
        <f t="shared" si="1"/>
        <v>28.321409899999988</v>
      </c>
      <c r="J11" s="52">
        <f t="shared" si="1"/>
        <v>32.228365129999993</v>
      </c>
      <c r="K11" s="52">
        <f t="shared" si="1"/>
        <v>53.330112169999992</v>
      </c>
      <c r="L11" s="52">
        <f t="shared" si="1"/>
        <v>33.176698129999998</v>
      </c>
      <c r="M11" s="52">
        <f t="shared" si="1"/>
        <v>55.750084860000001</v>
      </c>
      <c r="N11" s="52">
        <f t="shared" si="1"/>
        <v>39.769763810000008</v>
      </c>
      <c r="O11" s="52">
        <f t="shared" si="1"/>
        <v>46.586316300000007</v>
      </c>
      <c r="P11" s="34">
        <f t="shared" si="1"/>
        <v>533.61422529999993</v>
      </c>
      <c r="R11" s="46">
        <f t="shared" ref="R11" si="2">+D11</f>
        <v>54.702533369999983</v>
      </c>
    </row>
    <row r="12" spans="2:20" ht="18" customHeight="1" thickTop="1" thickBot="1">
      <c r="B12" s="260"/>
      <c r="C12" s="32" t="s">
        <v>156</v>
      </c>
      <c r="D12" s="35">
        <f>+(D11-'Impo 2016'!D11)/'Impo 2016'!D11</f>
        <v>0.1207599230141201</v>
      </c>
      <c r="E12" s="35">
        <f>+(E11-'Impo 2016'!E11)/'Impo 2016'!E11</f>
        <v>-0.20071239322483048</v>
      </c>
      <c r="F12" s="35">
        <f>+(F11-'Impo 2016'!F11)/'Impo 2016'!F11</f>
        <v>-0.20842026054079243</v>
      </c>
      <c r="G12" s="35">
        <f>+(G11-'Impo 2016'!G11)/'Impo 2016'!G11</f>
        <v>-0.30119737382031125</v>
      </c>
      <c r="H12" s="35">
        <f>+(H11-'Impo 2016'!H11)/'Impo 2016'!H11</f>
        <v>-4.7078233963240353E-2</v>
      </c>
      <c r="I12" s="35">
        <f>+(I11-'Impo 2016'!I11)/'Impo 2016'!I11</f>
        <v>-0.53300446359221398</v>
      </c>
      <c r="J12" s="35">
        <f>+(J11-'Impo 2016'!J11)/'Impo 2016'!J11</f>
        <v>-0.15597872020922535</v>
      </c>
      <c r="K12" s="35">
        <f>+(K11-'Impo 2016'!K11)/'Impo 2016'!K11</f>
        <v>1.4163345524819796E-2</v>
      </c>
      <c r="L12" s="35">
        <f>+(L11-'Impo 2016'!L11)/'Impo 2016'!L11</f>
        <v>-0.27713833748497246</v>
      </c>
      <c r="M12" s="35">
        <f>+(M11-'Impo 2016'!M11)/'Impo 2016'!M11</f>
        <v>0.24278660688697568</v>
      </c>
      <c r="N12" s="35">
        <f>+(N11-'Impo 2016'!N11)/'Impo 2016'!N11</f>
        <v>-0.28583784127304274</v>
      </c>
      <c r="O12" s="35">
        <f>+(O11-'Impo 2016'!O11)/'Impo 2016'!O11</f>
        <v>5.2491970075777737E-2</v>
      </c>
      <c r="P12" s="35">
        <f>+(P11-'Impo 2016'!R11)/'Impo 2016'!R11</f>
        <v>-0.14829517716310442</v>
      </c>
      <c r="R12" s="14"/>
    </row>
    <row r="13" spans="2:20" ht="18" customHeight="1" thickTop="1" thickBot="1">
      <c r="B13" s="260" t="s">
        <v>42</v>
      </c>
      <c r="C13" s="29" t="s">
        <v>65</v>
      </c>
      <c r="D13" s="34">
        <v>41.238</v>
      </c>
      <c r="E13" s="34">
        <v>68.284999999999997</v>
      </c>
      <c r="F13" s="34">
        <v>77.863</v>
      </c>
      <c r="G13" s="34">
        <v>38.954000000000001</v>
      </c>
      <c r="H13" s="34">
        <v>46.63</v>
      </c>
      <c r="I13" s="34">
        <v>31.85</v>
      </c>
      <c r="J13" s="34">
        <v>37.988999999999997</v>
      </c>
      <c r="K13" s="34">
        <v>21.82</v>
      </c>
      <c r="L13" s="34">
        <v>31.331</v>
      </c>
      <c r="M13" s="34">
        <v>19.597999999999999</v>
      </c>
      <c r="N13" s="34">
        <v>24.614999999999998</v>
      </c>
      <c r="O13" s="34">
        <v>24.103999999999999</v>
      </c>
      <c r="P13" s="34">
        <f>+SUM(D13:O13)</f>
        <v>464.27700000000004</v>
      </c>
      <c r="R13" s="14"/>
    </row>
    <row r="14" spans="2:20" ht="18" customHeight="1" thickTop="1" thickBot="1">
      <c r="B14" s="260"/>
      <c r="C14" s="29" t="s">
        <v>59</v>
      </c>
      <c r="D14" s="34">
        <v>147.71199999999999</v>
      </c>
      <c r="E14" s="34">
        <v>77.8</v>
      </c>
      <c r="F14" s="34">
        <v>133.15899999999999</v>
      </c>
      <c r="G14" s="34">
        <v>94.602999999999994</v>
      </c>
      <c r="H14" s="34">
        <f>132.223+5.883</f>
        <v>138.10600000000002</v>
      </c>
      <c r="I14" s="34">
        <f>119.816+5.299</f>
        <v>125.11500000000001</v>
      </c>
      <c r="J14" s="34">
        <f>136.811+6.868</f>
        <v>143.679</v>
      </c>
      <c r="K14" s="34">
        <f>135.981+7.374</f>
        <v>143.35499999999999</v>
      </c>
      <c r="L14" s="34">
        <f>159.999+5.023</f>
        <v>165.02199999999999</v>
      </c>
      <c r="M14" s="34">
        <f>138.194+4.641</f>
        <v>142.83499999999998</v>
      </c>
      <c r="N14" s="34">
        <f>112.827+5.473</f>
        <v>118.3</v>
      </c>
      <c r="O14" s="34">
        <f>97.183+4.344</f>
        <v>101.527</v>
      </c>
      <c r="P14" s="34">
        <f>+SUM(D14:O14)</f>
        <v>1531.213</v>
      </c>
      <c r="R14" s="14"/>
    </row>
    <row r="15" spans="2:20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+SUM(D15:O15)</f>
        <v>0</v>
      </c>
      <c r="R15" s="14"/>
    </row>
    <row r="16" spans="2:20" ht="18" customHeight="1" thickTop="1" thickBot="1">
      <c r="B16" s="260"/>
      <c r="C16" s="29" t="s">
        <v>139</v>
      </c>
      <c r="D16" s="52">
        <f>+D13+D14+D15</f>
        <v>188.95</v>
      </c>
      <c r="E16" s="52">
        <f t="shared" ref="E16:P16" si="3">+E13+E14+E15</f>
        <v>146.08499999999998</v>
      </c>
      <c r="F16" s="52">
        <f t="shared" si="3"/>
        <v>211.02199999999999</v>
      </c>
      <c r="G16" s="52">
        <f t="shared" si="3"/>
        <v>133.55699999999999</v>
      </c>
      <c r="H16" s="52">
        <f t="shared" si="3"/>
        <v>184.73600000000002</v>
      </c>
      <c r="I16" s="52">
        <f t="shared" si="3"/>
        <v>156.965</v>
      </c>
      <c r="J16" s="52">
        <f t="shared" si="3"/>
        <v>181.66800000000001</v>
      </c>
      <c r="K16" s="52">
        <f t="shared" si="3"/>
        <v>165.17499999999998</v>
      </c>
      <c r="L16" s="52">
        <f t="shared" si="3"/>
        <v>196.35299999999998</v>
      </c>
      <c r="M16" s="52">
        <f t="shared" si="3"/>
        <v>162.43299999999999</v>
      </c>
      <c r="N16" s="52">
        <f t="shared" si="3"/>
        <v>142.91499999999999</v>
      </c>
      <c r="O16" s="52">
        <f t="shared" si="3"/>
        <v>125.631</v>
      </c>
      <c r="P16" s="34">
        <f t="shared" si="3"/>
        <v>1995.49</v>
      </c>
      <c r="R16" s="46">
        <f t="shared" ref="R16" si="4">+D16</f>
        <v>188.95</v>
      </c>
    </row>
    <row r="17" spans="2:19" ht="18" customHeight="1" thickTop="1" thickBot="1">
      <c r="B17" s="260"/>
      <c r="C17" s="32" t="s">
        <v>156</v>
      </c>
      <c r="D17" s="35">
        <f>+(D16-'Impo 2016'!D16)/'Impo 2016'!D16</f>
        <v>1.1941844531667323</v>
      </c>
      <c r="E17" s="35">
        <f>+(E16-'Impo 2016'!E16)/'Impo 2016'!E16</f>
        <v>1.0538614028428017</v>
      </c>
      <c r="F17" s="35">
        <f>+(F16-'Impo 2016'!F16)/'Impo 2016'!F16</f>
        <v>0.67021781802064206</v>
      </c>
      <c r="G17" s="35">
        <f>+(G16-'Impo 2016'!G16)/'Impo 2016'!G16</f>
        <v>0.42149965408972367</v>
      </c>
      <c r="H17" s="35">
        <f>+(H16-'Impo 2016'!H16)/'Impo 2016'!H16</f>
        <v>0.27058888262239167</v>
      </c>
      <c r="I17" s="35">
        <f>+(I16-'Impo 2016'!I16)/'Impo 2016'!I16</f>
        <v>1.2309791491962421</v>
      </c>
      <c r="J17" s="35">
        <f>+(J16-'Impo 2016'!J16)/'Impo 2016'!J16</f>
        <v>1.0170093706976953</v>
      </c>
      <c r="K17" s="35">
        <f>+(K16-'Impo 2016'!K16)/'Impo 2016'!K16</f>
        <v>0.84112847493144871</v>
      </c>
      <c r="L17" s="35">
        <f>+(L16-'Impo 2016'!L16)/'Impo 2016'!L16</f>
        <v>0.50693016116653844</v>
      </c>
      <c r="M17" s="35">
        <f>+(M16-'Impo 2016'!M16)/'Impo 2016'!M16</f>
        <v>-0.15662156408685446</v>
      </c>
      <c r="N17" s="35">
        <f>+(N16-'Impo 2016'!N16)/'Impo 2016'!N16</f>
        <v>-0.14977601418279393</v>
      </c>
      <c r="O17" s="35">
        <f>+(O16-'Impo 2016'!O16)/'Impo 2016'!O16</f>
        <v>-6.2455223880597016E-2</v>
      </c>
      <c r="P17" s="35">
        <f>+(P16-'Impo 2016'!R16)/'Impo 2016'!R16</f>
        <v>0.42732582675160341</v>
      </c>
      <c r="R17" s="14"/>
    </row>
    <row r="18" spans="2:19" ht="18" customHeight="1" thickTop="1" thickBot="1">
      <c r="B18" s="260" t="s">
        <v>1</v>
      </c>
      <c r="C18" s="29" t="s">
        <v>65</v>
      </c>
      <c r="D18" s="34">
        <v>28.280930689999998</v>
      </c>
      <c r="E18" s="34">
        <v>5.2437662900000008</v>
      </c>
      <c r="F18" s="34">
        <v>56.17323434</v>
      </c>
      <c r="G18" s="34">
        <v>18.529122849999993</v>
      </c>
      <c r="H18" s="34">
        <v>44.789613430000017</v>
      </c>
      <c r="I18" s="34">
        <v>21.835266880000002</v>
      </c>
      <c r="J18" s="34">
        <v>23.258154900000001</v>
      </c>
      <c r="K18" s="34">
        <v>15.877311459999994</v>
      </c>
      <c r="L18" s="34">
        <v>37.979213540000011</v>
      </c>
      <c r="M18" s="34">
        <v>40.806708150000041</v>
      </c>
      <c r="N18" s="34">
        <v>43.582760469999997</v>
      </c>
      <c r="O18" s="171">
        <v>41.949626420000037</v>
      </c>
      <c r="P18" s="34">
        <f>+SUM(D18:O18)</f>
        <v>378.30570942000003</v>
      </c>
      <c r="R18" s="14"/>
    </row>
    <row r="19" spans="2:19" ht="18" customHeight="1" thickTop="1" thickBot="1">
      <c r="B19" s="260"/>
      <c r="C19" s="29" t="s">
        <v>59</v>
      </c>
      <c r="D19" s="171">
        <v>133.60340997</v>
      </c>
      <c r="E19" s="34">
        <v>90.59128849999999</v>
      </c>
      <c r="F19" s="34">
        <v>135.24810579999999</v>
      </c>
      <c r="G19" s="34">
        <v>104.00015782000004</v>
      </c>
      <c r="H19" s="34">
        <v>126.87844805000002</v>
      </c>
      <c r="I19" s="34">
        <v>113.58360683999997</v>
      </c>
      <c r="J19" s="34">
        <v>94.76416674000005</v>
      </c>
      <c r="K19" s="34">
        <v>117.56801305999998</v>
      </c>
      <c r="L19" s="34">
        <v>114.03797567000001</v>
      </c>
      <c r="M19" s="34">
        <v>81.580759129999947</v>
      </c>
      <c r="N19" s="34">
        <v>107.01014209000002</v>
      </c>
      <c r="O19" s="171">
        <v>95.537159380000048</v>
      </c>
      <c r="P19" s="34">
        <f>+SUM(D19:O19)</f>
        <v>1314.4032330500002</v>
      </c>
      <c r="R19" s="14"/>
    </row>
    <row r="20" spans="2:19" ht="18" customHeight="1" thickTop="1" thickBot="1">
      <c r="B20" s="260"/>
      <c r="C20" s="29" t="s">
        <v>60</v>
      </c>
      <c r="D20" s="171">
        <v>1.9509055399999995</v>
      </c>
      <c r="E20" s="34">
        <v>1.6391635399999995</v>
      </c>
      <c r="F20" s="34">
        <v>2.5740362499999998</v>
      </c>
      <c r="G20" s="34">
        <v>1.1966991199999992</v>
      </c>
      <c r="H20" s="34">
        <v>1.86293967</v>
      </c>
      <c r="I20" s="34">
        <v>3.1054637300000016</v>
      </c>
      <c r="J20" s="34">
        <v>1.3080510899999995</v>
      </c>
      <c r="K20" s="34">
        <v>2.1450895600000011</v>
      </c>
      <c r="L20" s="34">
        <v>2.1532793600000009</v>
      </c>
      <c r="M20" s="34">
        <v>2.2421369800000015</v>
      </c>
      <c r="N20" s="34">
        <v>4.1320888800000004</v>
      </c>
      <c r="O20" s="171">
        <v>1.9857349</v>
      </c>
      <c r="P20" s="34">
        <f>+SUM(D20:O20)</f>
        <v>26.295588620000004</v>
      </c>
      <c r="R20" s="14"/>
    </row>
    <row r="21" spans="2:19" ht="18" customHeight="1" thickTop="1" thickBot="1">
      <c r="B21" s="260"/>
      <c r="C21" s="29" t="s">
        <v>139</v>
      </c>
      <c r="D21" s="52">
        <f t="shared" ref="D21:P21" si="5">+D18+D19+D20</f>
        <v>163.8352462</v>
      </c>
      <c r="E21" s="52">
        <f t="shared" si="5"/>
        <v>97.474218329999985</v>
      </c>
      <c r="F21" s="52">
        <f t="shared" si="5"/>
        <v>193.99537638999999</v>
      </c>
      <c r="G21" s="52">
        <f t="shared" si="5"/>
        <v>123.72597979000004</v>
      </c>
      <c r="H21" s="52">
        <f t="shared" si="5"/>
        <v>173.53100115000004</v>
      </c>
      <c r="I21" s="52">
        <f t="shared" si="5"/>
        <v>138.52433744999996</v>
      </c>
      <c r="J21" s="52">
        <f t="shared" si="5"/>
        <v>119.33037273000006</v>
      </c>
      <c r="K21" s="52">
        <f t="shared" si="5"/>
        <v>135.59041407999999</v>
      </c>
      <c r="L21" s="52">
        <f t="shared" si="5"/>
        <v>154.17046857000003</v>
      </c>
      <c r="M21" s="52">
        <f t="shared" si="5"/>
        <v>124.62960425999998</v>
      </c>
      <c r="N21" s="52">
        <f t="shared" si="5"/>
        <v>154.72499144000003</v>
      </c>
      <c r="O21" s="52">
        <f t="shared" si="5"/>
        <v>139.4725207000001</v>
      </c>
      <c r="P21" s="34">
        <f t="shared" si="5"/>
        <v>1719.0045310900002</v>
      </c>
      <c r="R21" s="46">
        <f t="shared" ref="R21" si="6">+D21</f>
        <v>163.8352462</v>
      </c>
      <c r="S21" s="67"/>
    </row>
    <row r="22" spans="2:19" ht="18" customHeight="1" thickTop="1" thickBot="1">
      <c r="B22" s="260"/>
      <c r="C22" s="32" t="s">
        <v>156</v>
      </c>
      <c r="D22" s="35">
        <f>+(D21-'Impo 2016'!D21)/'Impo 2016'!D21</f>
        <v>-4.0619326217145757E-2</v>
      </c>
      <c r="E22" s="35">
        <f>+(E21-'Impo 2016'!E21)/'Impo 2016'!E21</f>
        <v>-0.22111964722204885</v>
      </c>
      <c r="F22" s="35">
        <f>+(F21-'Impo 2016'!F21)/'Impo 2016'!F21</f>
        <v>0.27169322725808981</v>
      </c>
      <c r="G22" s="35">
        <f>+(G21-'Impo 2016'!G21)/'Impo 2016'!G21</f>
        <v>0.40260874685855275</v>
      </c>
      <c r="H22" s="35">
        <f>+(H21-'Impo 2016'!H21)/'Impo 2016'!H21</f>
        <v>0.19992723031330156</v>
      </c>
      <c r="I22" s="35">
        <f>+(I21-'Impo 2016'!I21)/'Impo 2016'!I21</f>
        <v>9.5169704804830016E-2</v>
      </c>
      <c r="J22" s="35">
        <f>+(J21-'Impo 2016'!J21)/'Impo 2016'!J21</f>
        <v>0.26457867327710111</v>
      </c>
      <c r="K22" s="35">
        <f>+(K21-'Impo 2016'!K21)/'Impo 2016'!K21</f>
        <v>-0.11197713706868967</v>
      </c>
      <c r="L22" s="35">
        <f>+(L21-'Impo 2016'!L21)/'Impo 2016'!L21</f>
        <v>-3.6323625484544243E-2</v>
      </c>
      <c r="M22" s="35">
        <f>+(M21-'Impo 2016'!M21)/'Impo 2016'!M21</f>
        <v>6.6243574796607127E-2</v>
      </c>
      <c r="N22" s="35">
        <f>+(N21-'Impo 2016'!N21)/'Impo 2016'!N21</f>
        <v>1.3552732328142527E-2</v>
      </c>
      <c r="O22" s="35">
        <f>+(O21-'Impo 2016'!O21)/'Impo 2016'!O21</f>
        <v>0.16609378270623115</v>
      </c>
      <c r="P22" s="35">
        <f>+(P21-'Impo 2016'!R21)/'Impo 2016'!R21</f>
        <v>7.1721394845875808E-2</v>
      </c>
      <c r="R22" s="14"/>
    </row>
    <row r="23" spans="2:19" ht="18" customHeight="1" thickTop="1" thickBot="1">
      <c r="B23" s="260" t="s">
        <v>2</v>
      </c>
      <c r="C23" s="29" t="s">
        <v>65</v>
      </c>
      <c r="D23" s="171">
        <v>85.819241059999996</v>
      </c>
      <c r="E23" s="34">
        <v>73.867971319999995</v>
      </c>
      <c r="F23" s="34">
        <v>82.051750319999982</v>
      </c>
      <c r="G23" s="34">
        <v>73.784140989999997</v>
      </c>
      <c r="H23" s="34">
        <v>67.192958789999992</v>
      </c>
      <c r="I23" s="34">
        <v>63.398000000000003</v>
      </c>
      <c r="J23" s="34">
        <v>64.853049179999999</v>
      </c>
      <c r="K23" s="34">
        <v>86.734405859999995</v>
      </c>
      <c r="L23" s="34">
        <v>63.815813470000002</v>
      </c>
      <c r="M23" s="34">
        <v>50.256</v>
      </c>
      <c r="N23" s="34">
        <v>37.409999999999997</v>
      </c>
      <c r="O23" s="171">
        <v>45.509195820000002</v>
      </c>
      <c r="P23" s="34">
        <f>+SUM(D23:O23)</f>
        <v>794.69252680999989</v>
      </c>
      <c r="R23" s="14"/>
    </row>
    <row r="24" spans="2:19" ht="18" customHeight="1" thickTop="1" thickBot="1">
      <c r="B24" s="260"/>
      <c r="C24" s="29" t="s">
        <v>59</v>
      </c>
      <c r="D24" s="171">
        <v>103.84338352</v>
      </c>
      <c r="E24" s="34">
        <v>102.90419075000001</v>
      </c>
      <c r="F24" s="34">
        <v>140.58709062999995</v>
      </c>
      <c r="G24" s="34">
        <v>111.81432251999999</v>
      </c>
      <c r="H24" s="34">
        <v>85.337631360000003</v>
      </c>
      <c r="I24" s="34">
        <v>109.52142331999995</v>
      </c>
      <c r="J24" s="34">
        <v>133.85609009000001</v>
      </c>
      <c r="K24" s="34">
        <v>124.16581892000002</v>
      </c>
      <c r="L24" s="34">
        <v>118.77026060999999</v>
      </c>
      <c r="M24" s="34">
        <v>92.903999999999996</v>
      </c>
      <c r="N24" s="34">
        <v>57.815051480000001</v>
      </c>
      <c r="O24" s="171">
        <v>62.729295229999998</v>
      </c>
      <c r="P24" s="34">
        <f>+SUM(D24:O24)</f>
        <v>1244.2485584299998</v>
      </c>
      <c r="R24" s="14"/>
    </row>
    <row r="25" spans="2:19" ht="18" customHeight="1" thickTop="1" thickBot="1">
      <c r="B25" s="260"/>
      <c r="C25" s="29" t="s">
        <v>60</v>
      </c>
      <c r="D25" s="171">
        <v>23.656163659999997</v>
      </c>
      <c r="E25" s="34">
        <v>9.1719164699999975</v>
      </c>
      <c r="F25" s="34">
        <v>17.795460579999993</v>
      </c>
      <c r="G25" s="34">
        <v>6.5176264300000009</v>
      </c>
      <c r="H25" s="34">
        <v>7.7503538899999969</v>
      </c>
      <c r="I25" s="34">
        <v>12.490525419999999</v>
      </c>
      <c r="J25" s="34">
        <v>8.3047105999999999</v>
      </c>
      <c r="K25" s="34">
        <v>22.355698620000002</v>
      </c>
      <c r="L25" s="34">
        <v>15.217406100000002</v>
      </c>
      <c r="M25" s="34">
        <v>9.4369999999999994</v>
      </c>
      <c r="N25" s="34">
        <v>11.129</v>
      </c>
      <c r="O25" s="171">
        <v>17.197031039999999</v>
      </c>
      <c r="P25" s="34">
        <f>+SUM(D25:O25)</f>
        <v>161.02289280999997</v>
      </c>
      <c r="R25" s="14"/>
    </row>
    <row r="26" spans="2:19" ht="18" customHeight="1" thickTop="1" thickBot="1">
      <c r="B26" s="260"/>
      <c r="C26" s="29" t="s">
        <v>139</v>
      </c>
      <c r="D26" s="52">
        <f t="shared" ref="D26:P26" si="7">+D23+D24+D25</f>
        <v>213.31878824</v>
      </c>
      <c r="E26" s="52">
        <f t="shared" si="7"/>
        <v>185.94407853999999</v>
      </c>
      <c r="F26" s="52">
        <f t="shared" si="7"/>
        <v>240.43430152999991</v>
      </c>
      <c r="G26" s="52">
        <f t="shared" si="7"/>
        <v>192.11608993999999</v>
      </c>
      <c r="H26" s="52">
        <f t="shared" si="7"/>
        <v>160.28094403999998</v>
      </c>
      <c r="I26" s="52">
        <f t="shared" si="7"/>
        <v>185.40994873999998</v>
      </c>
      <c r="J26" s="52">
        <f t="shared" si="7"/>
        <v>207.01384987</v>
      </c>
      <c r="K26" s="52">
        <f t="shared" si="7"/>
        <v>233.25592340000003</v>
      </c>
      <c r="L26" s="52">
        <f t="shared" si="7"/>
        <v>197.80348018000001</v>
      </c>
      <c r="M26" s="52">
        <f t="shared" si="7"/>
        <v>152.59700000000001</v>
      </c>
      <c r="N26" s="52">
        <f t="shared" si="7"/>
        <v>106.35405148</v>
      </c>
      <c r="O26" s="52">
        <f t="shared" si="7"/>
        <v>125.43552208999999</v>
      </c>
      <c r="P26" s="34">
        <f t="shared" si="7"/>
        <v>2199.9639780499997</v>
      </c>
      <c r="R26" s="46">
        <f t="shared" ref="R26" si="8">+D26</f>
        <v>213.31878824</v>
      </c>
      <c r="S26" s="61"/>
    </row>
    <row r="27" spans="2:19" ht="18" customHeight="1" thickTop="1" thickBot="1">
      <c r="B27" s="260"/>
      <c r="C27" s="32" t="s">
        <v>156</v>
      </c>
      <c r="D27" s="35">
        <f>+(D26-'Impo 2016'!D26)/'Impo 2016'!D26</f>
        <v>-1.0892086867382484E-2</v>
      </c>
      <c r="E27" s="35">
        <f>+(E26-'Impo 2016'!E26)/'Impo 2016'!E26</f>
        <v>-0.20914234666115702</v>
      </c>
      <c r="F27" s="35">
        <f>+(F26-'Impo 2016'!F26)/'Impo 2016'!F26</f>
        <v>0.21475280957927234</v>
      </c>
      <c r="G27" s="35">
        <f>+(G26-'Impo 2016'!G26)/'Impo 2016'!G26</f>
        <v>6.6844649851811017E-2</v>
      </c>
      <c r="H27" s="35">
        <f>+(H26-'Impo 2016'!H26)/'Impo 2016'!H26</f>
        <v>-0.1501771574148783</v>
      </c>
      <c r="I27" s="35">
        <f>+(I26-'Impo 2016'!I26)/'Impo 2016'!I26</f>
        <v>-0.12929492110002858</v>
      </c>
      <c r="J27" s="35">
        <f>+(J26-'Impo 2016'!J26)/'Impo 2016'!J26</f>
        <v>0.28430654915719966</v>
      </c>
      <c r="K27" s="35">
        <f>+(K26-'Impo 2016'!K26)/'Impo 2016'!K26</f>
        <v>0.13588957516518543</v>
      </c>
      <c r="L27" s="35">
        <f>+(L26-'Impo 2016'!L26)/'Impo 2016'!L26</f>
        <v>-3.1175102748551311E-2</v>
      </c>
      <c r="M27" s="35">
        <f>+(M26-'Impo 2016'!M26)/'Impo 2016'!M26</f>
        <v>-0.13113863208124721</v>
      </c>
      <c r="N27" s="35">
        <f>+(N26-'Impo 2016'!N26)/'Impo 2016'!N26</f>
        <v>-0.46619734244168276</v>
      </c>
      <c r="O27" s="35">
        <f>+(O26-'Impo 2016'!O26)/'Impo 2016'!O26</f>
        <v>-0.41834271887584479</v>
      </c>
      <c r="P27" s="35">
        <f>+(P26-'Impo 2016'!R26)/'Impo 2016'!R26</f>
        <v>-8.0115493754916348E-2</v>
      </c>
      <c r="R27" s="14"/>
    </row>
    <row r="28" spans="2:19" s="3" customFormat="1" ht="18" customHeight="1" thickTop="1" thickBot="1">
      <c r="B28" s="260" t="s">
        <v>5</v>
      </c>
      <c r="C28" s="29" t="s">
        <v>65</v>
      </c>
      <c r="D28" s="171">
        <v>10.931684080000005</v>
      </c>
      <c r="E28" s="171">
        <v>4.2605433899999987</v>
      </c>
      <c r="F28" s="34">
        <v>31.929870230000006</v>
      </c>
      <c r="G28" s="34">
        <v>4.1116732800000015</v>
      </c>
      <c r="H28" s="34">
        <v>13.469431783538496</v>
      </c>
      <c r="I28" s="34">
        <v>22.520246700000019</v>
      </c>
      <c r="J28" s="34">
        <v>13.255699760000011</v>
      </c>
      <c r="K28" s="34">
        <v>14.258476609999992</v>
      </c>
      <c r="L28" s="171">
        <f>+$H$28</f>
        <v>13.469431783538496</v>
      </c>
      <c r="M28" s="171">
        <f t="shared" ref="M28:O28" si="9">+$H$28</f>
        <v>13.469431783538496</v>
      </c>
      <c r="N28" s="171">
        <f t="shared" si="9"/>
        <v>13.469431783538496</v>
      </c>
      <c r="O28" s="171">
        <f t="shared" si="9"/>
        <v>13.469431783538496</v>
      </c>
      <c r="P28" s="34">
        <f>+SUM(D28:O28)</f>
        <v>168.6153529676925</v>
      </c>
      <c r="R28" s="14"/>
    </row>
    <row r="29" spans="2:19" s="3" customFormat="1" ht="18" customHeight="1" thickTop="1" thickBot="1">
      <c r="B29" s="260"/>
      <c r="C29" s="29" t="s">
        <v>59</v>
      </c>
      <c r="D29" s="171">
        <v>36.57801628</v>
      </c>
      <c r="E29" s="34">
        <v>48.579293960000058</v>
      </c>
      <c r="F29" s="34">
        <v>25.292222129999985</v>
      </c>
      <c r="G29" s="34">
        <v>42.105081540000008</v>
      </c>
      <c r="H29" s="34">
        <f>+H28*3</f>
        <v>40.408295350615489</v>
      </c>
      <c r="I29" s="34">
        <v>49.039624280000005</v>
      </c>
      <c r="J29" s="34">
        <v>17.704251289999998</v>
      </c>
      <c r="K29" s="34">
        <v>35.508195239999999</v>
      </c>
      <c r="L29" s="171">
        <f t="shared" ref="L29:O29" si="10">+L28*3</f>
        <v>40.408295350615489</v>
      </c>
      <c r="M29" s="171">
        <f t="shared" si="10"/>
        <v>40.408295350615489</v>
      </c>
      <c r="N29" s="171">
        <f t="shared" si="10"/>
        <v>40.408295350615489</v>
      </c>
      <c r="O29" s="171">
        <f t="shared" si="10"/>
        <v>40.408295350615489</v>
      </c>
      <c r="P29" s="34">
        <f>+SUM(D29:O29)</f>
        <v>456.8481614730776</v>
      </c>
      <c r="R29" s="14"/>
    </row>
    <row r="30" spans="2:19" s="3" customFormat="1" ht="18" customHeight="1" thickTop="1" thickBot="1">
      <c r="B30" s="260"/>
      <c r="C30" s="29" t="s">
        <v>60</v>
      </c>
      <c r="D30" s="171">
        <v>0.22704279000000008</v>
      </c>
      <c r="E30" s="34">
        <v>0.10794529000000001</v>
      </c>
      <c r="F30" s="34">
        <v>0.10217466999999998</v>
      </c>
      <c r="G30" s="34">
        <v>0.20209969</v>
      </c>
      <c r="H30" s="34">
        <v>0.21290000000000001</v>
      </c>
      <c r="I30" s="34">
        <v>0.51051311999999971</v>
      </c>
      <c r="J30" s="34">
        <v>0.29630991000000018</v>
      </c>
      <c r="K30" s="34">
        <v>0.13211340999999985</v>
      </c>
      <c r="L30" s="171">
        <v>0.20824588999999974</v>
      </c>
      <c r="M30" s="171">
        <v>0.10400951999999999</v>
      </c>
      <c r="N30" s="171">
        <v>0.34001929999999964</v>
      </c>
      <c r="O30" s="30">
        <v>0.2</v>
      </c>
      <c r="P30" s="34">
        <f>+SUM(D30:O30)</f>
        <v>2.6433735899999995</v>
      </c>
      <c r="R30" s="14"/>
    </row>
    <row r="31" spans="2:19" s="3" customFormat="1" ht="18" customHeight="1" thickTop="1" thickBot="1">
      <c r="B31" s="260"/>
      <c r="C31" s="29" t="s">
        <v>139</v>
      </c>
      <c r="D31" s="52">
        <f t="shared" ref="D31:P31" si="11">+D28+D29+D30</f>
        <v>47.736743150000002</v>
      </c>
      <c r="E31" s="52">
        <f t="shared" si="11"/>
        <v>52.947782640000057</v>
      </c>
      <c r="F31" s="52">
        <f t="shared" si="11"/>
        <v>57.324267029999987</v>
      </c>
      <c r="G31" s="52">
        <f t="shared" si="11"/>
        <v>46.418854510000003</v>
      </c>
      <c r="H31" s="52">
        <f t="shared" si="11"/>
        <v>54.090627134153983</v>
      </c>
      <c r="I31" s="52">
        <f t="shared" si="11"/>
        <v>72.070384100000027</v>
      </c>
      <c r="J31" s="52">
        <f t="shared" si="11"/>
        <v>31.256260960000009</v>
      </c>
      <c r="K31" s="52">
        <f t="shared" si="11"/>
        <v>49.898785259999997</v>
      </c>
      <c r="L31" s="52">
        <f t="shared" si="11"/>
        <v>54.085973024153986</v>
      </c>
      <c r="M31" s="52">
        <f t="shared" si="11"/>
        <v>53.981736654153984</v>
      </c>
      <c r="N31" s="52">
        <f t="shared" si="11"/>
        <v>54.217746434153987</v>
      </c>
      <c r="O31" s="53">
        <f t="shared" si="11"/>
        <v>54.077727134153989</v>
      </c>
      <c r="P31" s="34">
        <f t="shared" si="11"/>
        <v>628.10688803077005</v>
      </c>
      <c r="R31" s="46">
        <f t="shared" ref="R31" si="12">+D31</f>
        <v>47.736743150000002</v>
      </c>
      <c r="S31" s="61"/>
    </row>
    <row r="32" spans="2:19" s="3" customFormat="1" ht="18" customHeight="1" thickTop="1" thickBot="1">
      <c r="B32" s="260"/>
      <c r="C32" s="32" t="s">
        <v>156</v>
      </c>
      <c r="D32" s="35">
        <f>+(D31-'Impo 2016'!D31)/'Impo 2016'!D31</f>
        <v>0.30953749461088848</v>
      </c>
      <c r="E32" s="35">
        <f>+(E31-'Impo 2016'!E31)/'Impo 2016'!E31</f>
        <v>0.24917538326400243</v>
      </c>
      <c r="F32" s="35">
        <f>+(F31-'Impo 2016'!F31)/'Impo 2016'!F31</f>
        <v>5.0553039266353496E-2</v>
      </c>
      <c r="G32" s="35">
        <f>+(G31-'Impo 2016'!G31)/'Impo 2016'!G31</f>
        <v>0.93069790212559222</v>
      </c>
      <c r="H32" s="35">
        <f>+(H31-'Impo 2016'!H31)/'Impo 2016'!H31</f>
        <v>0.27547533505136518</v>
      </c>
      <c r="I32" s="35">
        <f>+(I31-'Impo 2016'!I31)/'Impo 2016'!I31</f>
        <v>0.81282121092642245</v>
      </c>
      <c r="J32" s="35">
        <f>+(J31-'Impo 2016'!J31)/'Impo 2016'!J31</f>
        <v>-0.39057731203943674</v>
      </c>
      <c r="K32" s="35">
        <f>+(K31-'Impo 2016'!K31)/'Impo 2016'!K31</f>
        <v>0.27108123655015587</v>
      </c>
      <c r="L32" s="35">
        <f>+(L31-'Impo 2016'!L31)/'Impo 2016'!L31</f>
        <v>-5.6294488468923751E-2</v>
      </c>
      <c r="M32" s="35">
        <f>+(M31-'Impo 2016'!M31)/'Impo 2016'!M31</f>
        <v>0.36523822916731269</v>
      </c>
      <c r="N32" s="35">
        <f>+(N31-'Impo 2016'!N31)/'Impo 2016'!N31</f>
        <v>5.6014601462747886E-2</v>
      </c>
      <c r="O32" s="37">
        <f>+(O31-'Impo 2016'!O31)/'Impo 2016'!O31</f>
        <v>-6.3198620076636139E-2</v>
      </c>
      <c r="P32" s="35">
        <f>+(P31-'Impo 2016'!R31)/'Impo 2016'!R31</f>
        <v>0.17167216032821508</v>
      </c>
      <c r="R32" s="14"/>
    </row>
    <row r="33" spans="2:18" s="3" customFormat="1" ht="18" customHeight="1" thickTop="1" thickBot="1">
      <c r="B33" s="260" t="s">
        <v>4</v>
      </c>
      <c r="C33" s="29" t="s">
        <v>65</v>
      </c>
      <c r="D33" s="34">
        <v>13.700361440000021</v>
      </c>
      <c r="E33" s="34">
        <v>13.079372970000001</v>
      </c>
      <c r="F33" s="34">
        <v>13.249404750000007</v>
      </c>
      <c r="G33" s="34">
        <v>11.52834794</v>
      </c>
      <c r="H33" s="34">
        <v>9.5495914200000076</v>
      </c>
      <c r="I33" s="34">
        <v>16.196193329999996</v>
      </c>
      <c r="J33" s="34">
        <v>10.016508819999997</v>
      </c>
      <c r="K33" s="34">
        <v>17.339563210000005</v>
      </c>
      <c r="L33" s="34">
        <v>10.948096810000003</v>
      </c>
      <c r="M33" s="34">
        <v>3.0729736300000012</v>
      </c>
      <c r="N33" s="34">
        <v>4.3903593599999997</v>
      </c>
      <c r="O33" s="34">
        <v>5.6736178500000003</v>
      </c>
      <c r="P33" s="34">
        <f>+SUM(D33:O33)</f>
        <v>128.74439153000006</v>
      </c>
      <c r="R33" s="14"/>
    </row>
    <row r="34" spans="2:18" s="3" customFormat="1" ht="18" customHeight="1" thickTop="1" thickBot="1">
      <c r="B34" s="260"/>
      <c r="C34" s="29" t="s">
        <v>59</v>
      </c>
      <c r="D34" s="34">
        <v>67.83242752999999</v>
      </c>
      <c r="E34" s="34">
        <v>56.523076019999998</v>
      </c>
      <c r="F34" s="34">
        <v>96.146747959999985</v>
      </c>
      <c r="G34" s="34">
        <v>79.07689854000003</v>
      </c>
      <c r="H34" s="34">
        <v>60.093223080000016</v>
      </c>
      <c r="I34" s="34">
        <v>84.253492490000014</v>
      </c>
      <c r="J34" s="34">
        <v>83.58198249999991</v>
      </c>
      <c r="K34" s="34">
        <v>77.230864339999883</v>
      </c>
      <c r="L34" s="34">
        <v>53.279374719999971</v>
      </c>
      <c r="M34" s="34">
        <v>65.639793640000008</v>
      </c>
      <c r="N34" s="34">
        <v>59.964140380000032</v>
      </c>
      <c r="O34" s="34">
        <v>53.466707710000001</v>
      </c>
      <c r="P34" s="34">
        <f>+SUM(D34:O34)</f>
        <v>837.08872890999976</v>
      </c>
      <c r="R34" s="14"/>
    </row>
    <row r="35" spans="2:18" s="3" customFormat="1" ht="18" customHeight="1" thickTop="1" thickBot="1">
      <c r="B35" s="260"/>
      <c r="C35" s="29" t="s">
        <v>60</v>
      </c>
      <c r="D35" s="34">
        <v>4.1780754100000008</v>
      </c>
      <c r="E35" s="34">
        <v>5.1245222899999963</v>
      </c>
      <c r="F35" s="34">
        <v>9.43911546</v>
      </c>
      <c r="G35" s="34">
        <v>9.4201939199999831</v>
      </c>
      <c r="H35" s="34">
        <v>6.9770720599999967</v>
      </c>
      <c r="I35" s="34">
        <v>3.8553560499999975</v>
      </c>
      <c r="J35" s="34">
        <v>5.6204519400000006</v>
      </c>
      <c r="K35" s="34">
        <v>6.9860318299999928</v>
      </c>
      <c r="L35" s="34">
        <v>1.7646284599999966</v>
      </c>
      <c r="M35" s="34">
        <v>5.919413379999984</v>
      </c>
      <c r="N35" s="34">
        <v>1.2605619900000038</v>
      </c>
      <c r="O35" s="34">
        <v>5.0737515900000005</v>
      </c>
      <c r="P35" s="34">
        <f>+SUM(D35:O35)</f>
        <v>65.619174379999947</v>
      </c>
      <c r="R35" s="14"/>
    </row>
    <row r="36" spans="2:18" s="3" customFormat="1" ht="18" customHeight="1" thickTop="1" thickBot="1">
      <c r="B36" s="260"/>
      <c r="C36" s="29" t="s">
        <v>139</v>
      </c>
      <c r="D36" s="52">
        <f t="shared" ref="D36:P36" si="13">+D33+D34+D35</f>
        <v>85.710864380000018</v>
      </c>
      <c r="E36" s="52">
        <f t="shared" si="13"/>
        <v>74.726971280000001</v>
      </c>
      <c r="F36" s="52">
        <f t="shared" si="13"/>
        <v>118.83526816999999</v>
      </c>
      <c r="G36" s="52">
        <f t="shared" si="13"/>
        <v>100.02544040000002</v>
      </c>
      <c r="H36" s="52">
        <f t="shared" si="13"/>
        <v>76.619886560000026</v>
      </c>
      <c r="I36" s="52">
        <f t="shared" si="13"/>
        <v>104.30504187000001</v>
      </c>
      <c r="J36" s="52">
        <f t="shared" si="13"/>
        <v>99.218943259999904</v>
      </c>
      <c r="K36" s="52">
        <f t="shared" si="13"/>
        <v>101.55645937999988</v>
      </c>
      <c r="L36" s="52">
        <f t="shared" si="13"/>
        <v>65.992099989999971</v>
      </c>
      <c r="M36" s="52">
        <f t="shared" si="13"/>
        <v>74.632180649999995</v>
      </c>
      <c r="N36" s="52">
        <f t="shared" si="13"/>
        <v>65.615061730000036</v>
      </c>
      <c r="O36" s="52">
        <f t="shared" si="13"/>
        <v>64.214077150000008</v>
      </c>
      <c r="P36" s="34">
        <f t="shared" si="13"/>
        <v>1031.4522948199997</v>
      </c>
      <c r="R36" s="46">
        <f t="shared" ref="R36" si="14">+D36</f>
        <v>85.710864380000018</v>
      </c>
    </row>
    <row r="37" spans="2:18" s="3" customFormat="1" ht="18" customHeight="1" thickTop="1" thickBot="1">
      <c r="B37" s="260"/>
      <c r="C37" s="32" t="s">
        <v>156</v>
      </c>
      <c r="D37" s="35">
        <f>+(D36-'Impo 2016'!D36)/'Impo 2016'!D36</f>
        <v>9.5872026010557096E-2</v>
      </c>
      <c r="E37" s="35">
        <f>+(E36-'Impo 2016'!E36)/'Impo 2016'!E36</f>
        <v>-9.4008224539442672E-2</v>
      </c>
      <c r="F37" s="35">
        <f>+(F36-'Impo 2016'!F36)/'Impo 2016'!F36</f>
        <v>0.54926282300775897</v>
      </c>
      <c r="G37" s="35">
        <f>+(G36-'Impo 2016'!G36)/'Impo 2016'!G36</f>
        <v>0.84804705218783372</v>
      </c>
      <c r="H37" s="35">
        <f>+(H36-'Impo 2016'!H36)/'Impo 2016'!H36</f>
        <v>1.9288204836435025E-2</v>
      </c>
      <c r="I37" s="35">
        <f>+(I36-'Impo 2016'!I36)/'Impo 2016'!I36</f>
        <v>1.1708149555413896</v>
      </c>
      <c r="J37" s="35">
        <f>+(J36-'Impo 2016'!J36)/'Impo 2016'!J36</f>
        <v>0.99185207708133138</v>
      </c>
      <c r="K37" s="35">
        <f>+(K36-'Impo 2016'!K36)/'Impo 2016'!K36</f>
        <v>0.44693218460731293</v>
      </c>
      <c r="L37" s="35">
        <f>+(L36-'Impo 2016'!L36)/'Impo 2016'!L36</f>
        <v>-0.27854902340089621</v>
      </c>
      <c r="M37" s="35">
        <f>+(M36-'Impo 2016'!M36)/'Impo 2016'!M36</f>
        <v>-0.15768171246887772</v>
      </c>
      <c r="N37" s="35">
        <f>+(N36-'Impo 2016'!N36)/'Impo 2016'!N36</f>
        <v>-0.19961105906021451</v>
      </c>
      <c r="O37" s="35">
        <f>+(O36-'Impo 2016'!O36)/'Impo 2016'!O36</f>
        <v>-0.22430391642204178</v>
      </c>
      <c r="P37" s="35">
        <f>+(P36-'Impo 2016'!R36)/'Impo 2016'!R36</f>
        <v>0.172667973104076</v>
      </c>
      <c r="R37" s="14"/>
    </row>
    <row r="38" spans="2:18" s="3" customFormat="1" ht="18" customHeight="1" thickTop="1" thickBot="1">
      <c r="B38" s="260" t="s">
        <v>10</v>
      </c>
      <c r="C38" s="29" t="s">
        <v>65</v>
      </c>
      <c r="D38" s="34">
        <v>17.175696690000002</v>
      </c>
      <c r="E38" s="34">
        <v>6.1575272199999986</v>
      </c>
      <c r="F38" s="34">
        <v>9.2864930000000012E-2</v>
      </c>
      <c r="G38" s="34">
        <v>10.797281010000003</v>
      </c>
      <c r="H38" s="34">
        <v>13.257401309999997</v>
      </c>
      <c r="I38" s="34">
        <v>8.1836190000000002</v>
      </c>
      <c r="J38" s="34">
        <v>7.5512147200000008</v>
      </c>
      <c r="K38" s="34">
        <v>12.46288427</v>
      </c>
      <c r="L38" s="34">
        <v>10.253064760000001</v>
      </c>
      <c r="M38" s="34">
        <v>24.46287409</v>
      </c>
      <c r="N38" s="34">
        <v>11.815523359999995</v>
      </c>
      <c r="O38" s="34">
        <v>6.72836649</v>
      </c>
      <c r="P38" s="34">
        <f>+SUM(D38:O38)</f>
        <v>128.93831785</v>
      </c>
      <c r="R38" s="14"/>
    </row>
    <row r="39" spans="2:18" s="3" customFormat="1" ht="18" customHeight="1" thickTop="1" thickBot="1">
      <c r="B39" s="260"/>
      <c r="C39" s="29" t="s">
        <v>59</v>
      </c>
      <c r="D39" s="34">
        <v>32.780906639999998</v>
      </c>
      <c r="E39" s="34">
        <v>18.837635410000008</v>
      </c>
      <c r="F39" s="34">
        <v>0.27731992999999983</v>
      </c>
      <c r="G39" s="34">
        <v>27.925949050000003</v>
      </c>
      <c r="H39" s="34">
        <v>21.24841584</v>
      </c>
      <c r="I39" s="34">
        <v>14.266743</v>
      </c>
      <c r="J39" s="34">
        <v>15.70349152</v>
      </c>
      <c r="K39" s="34">
        <v>26.374934650000007</v>
      </c>
      <c r="L39" s="34">
        <v>13.170870289999995</v>
      </c>
      <c r="M39" s="34">
        <v>27.585095209999995</v>
      </c>
      <c r="N39" s="34">
        <v>16.004526420000001</v>
      </c>
      <c r="O39" s="34">
        <v>17.865046649999996</v>
      </c>
      <c r="P39" s="34">
        <f>+SUM(D39:O39)</f>
        <v>232.04093460999997</v>
      </c>
      <c r="R39" s="14"/>
    </row>
    <row r="40" spans="2:18" s="3" customFormat="1" ht="18" customHeight="1" thickTop="1" thickBot="1">
      <c r="B40" s="260"/>
      <c r="C40" s="29" t="s">
        <v>60</v>
      </c>
      <c r="D40" s="52">
        <v>0.11361445999999999</v>
      </c>
      <c r="E40" s="52">
        <v>0.15604609</v>
      </c>
      <c r="F40" s="52">
        <v>4.6993430000000003E-2</v>
      </c>
      <c r="G40" s="52">
        <v>4.3556820000000003E-2</v>
      </c>
      <c r="H40" s="52">
        <v>0.34765368999999996</v>
      </c>
      <c r="I40" s="52">
        <v>6.2446000000000002E-2</v>
      </c>
      <c r="J40" s="52">
        <v>1.6116100000000001E-2</v>
      </c>
      <c r="K40" s="52">
        <v>0.17338930000000002</v>
      </c>
      <c r="L40" s="52">
        <v>2.7628060000000003E-2</v>
      </c>
      <c r="M40" s="52">
        <v>9.857529000000001E-2</v>
      </c>
      <c r="N40" s="52">
        <v>7.6660180000000008E-2</v>
      </c>
      <c r="O40" s="52">
        <v>5.7843269999999995E-2</v>
      </c>
      <c r="P40" s="34">
        <f>+SUM(D40:O40)</f>
        <v>1.2205226899999999</v>
      </c>
      <c r="R40" s="14"/>
    </row>
    <row r="41" spans="2:18" s="3" customFormat="1" ht="18" customHeight="1" thickTop="1" thickBot="1">
      <c r="B41" s="260"/>
      <c r="C41" s="29" t="s">
        <v>139</v>
      </c>
      <c r="D41" s="52">
        <f t="shared" ref="D41:P41" si="15">+D38+D39+D40</f>
        <v>50.070217790000001</v>
      </c>
      <c r="E41" s="52">
        <f t="shared" si="15"/>
        <v>25.151208720000007</v>
      </c>
      <c r="F41" s="52">
        <f t="shared" si="15"/>
        <v>0.41717828999999984</v>
      </c>
      <c r="G41" s="52">
        <f t="shared" si="15"/>
        <v>38.766786880000005</v>
      </c>
      <c r="H41" s="52">
        <f t="shared" si="15"/>
        <v>34.85347084</v>
      </c>
      <c r="I41" s="52">
        <f t="shared" si="15"/>
        <v>22.512808</v>
      </c>
      <c r="J41" s="52">
        <f t="shared" si="15"/>
        <v>23.270822340000002</v>
      </c>
      <c r="K41" s="52">
        <f t="shared" si="15"/>
        <v>39.01120822</v>
      </c>
      <c r="L41" s="52">
        <f t="shared" si="15"/>
        <v>23.451563109999999</v>
      </c>
      <c r="M41" s="52">
        <f t="shared" si="15"/>
        <v>52.146544589999991</v>
      </c>
      <c r="N41" s="52">
        <f t="shared" si="15"/>
        <v>27.896709959999999</v>
      </c>
      <c r="O41" s="52">
        <f t="shared" si="15"/>
        <v>24.651256409999995</v>
      </c>
      <c r="P41" s="34">
        <f t="shared" si="15"/>
        <v>362.19977514999999</v>
      </c>
      <c r="R41" s="46">
        <f t="shared" ref="R41" si="16">+D41</f>
        <v>50.070217790000001</v>
      </c>
    </row>
    <row r="42" spans="2:18" s="3" customFormat="1" ht="18" customHeight="1" thickTop="1" thickBot="1">
      <c r="B42" s="260"/>
      <c r="C42" s="32" t="s">
        <v>156</v>
      </c>
      <c r="D42" s="35">
        <f>+(D41-'Impo 2016'!D41)/'Impo 2016'!D41</f>
        <v>0.70569826439460048</v>
      </c>
      <c r="E42" s="35">
        <f>+(E41-'Impo 2016'!E41)/'Impo 2016'!E41</f>
        <v>-0.21001678195816062</v>
      </c>
      <c r="F42" s="35">
        <f>+(F41-'Impo 2016'!F41)/'Impo 2016'!F41</f>
        <v>-0.98278062619285922</v>
      </c>
      <c r="G42" s="35">
        <f>+(G41-'Impo 2016'!G41)/'Impo 2016'!G41</f>
        <v>0.32852773465691493</v>
      </c>
      <c r="H42" s="35">
        <f>+(H41-'Impo 2016'!H41)/'Impo 2016'!H41</f>
        <v>0.24982762846025514</v>
      </c>
      <c r="I42" s="35">
        <f>+(I41-'Impo 2016'!I41)/'Impo 2016'!I41</f>
        <v>-0.4166462357660663</v>
      </c>
      <c r="J42" s="35">
        <f>+(J41-'Impo 2016'!J41)/'Impo 2016'!J41</f>
        <v>-0.24557278901863663</v>
      </c>
      <c r="K42" s="35">
        <f>+(K41-'Impo 2016'!K41)/'Impo 2016'!K41</f>
        <v>3.3129298584860918E-2</v>
      </c>
      <c r="L42" s="35">
        <f>+(L41-'Impo 2016'!L41)/'Impo 2016'!L41</f>
        <v>0.37335585739021615</v>
      </c>
      <c r="M42" s="35">
        <f>+(M41-'Impo 2016'!M41)/'Impo 2016'!M41</f>
        <v>0.3824026009358924</v>
      </c>
      <c r="N42" s="35">
        <f>+(N41-'Impo 2016'!N41)/'Impo 2016'!N41</f>
        <v>-0.23360509388960196</v>
      </c>
      <c r="O42" s="35">
        <f>+(O41-'Impo 2016'!O41)/'Impo 2016'!O41</f>
        <v>-0.16676942901147432</v>
      </c>
      <c r="P42" s="35">
        <f>+(P41-'Impo 2016'!R41)/'Impo 2016'!R41</f>
        <v>-2.231640877340069E-2</v>
      </c>
      <c r="R42" s="14"/>
    </row>
    <row r="43" spans="2:18" s="3" customFormat="1" ht="18" customHeight="1" thickTop="1" thickBot="1">
      <c r="B43" s="260" t="s">
        <v>11</v>
      </c>
      <c r="C43" s="29" t="s">
        <v>65</v>
      </c>
      <c r="D43" s="171">
        <v>13.415709</v>
      </c>
      <c r="E43" s="171">
        <v>19.638259000000001</v>
      </c>
      <c r="F43" s="171">
        <v>10.589307</v>
      </c>
      <c r="G43" s="171">
        <v>34.003073999999998</v>
      </c>
      <c r="H43" s="171">
        <v>14.120345</v>
      </c>
      <c r="I43" s="171">
        <v>20.639244000000001</v>
      </c>
      <c r="J43" s="171">
        <v>20.635883</v>
      </c>
      <c r="K43" s="171">
        <v>34.750922000000003</v>
      </c>
      <c r="L43" s="171">
        <v>12.742388</v>
      </c>
      <c r="M43" s="171">
        <v>28.838743000000001</v>
      </c>
      <c r="N43" s="171">
        <v>14.349225000000001</v>
      </c>
      <c r="O43" s="171">
        <v>18.054378</v>
      </c>
      <c r="P43" s="34">
        <f>+SUM(D43:O43)</f>
        <v>241.77747699999998</v>
      </c>
      <c r="R43" s="14"/>
    </row>
    <row r="44" spans="2:18" s="3" customFormat="1" ht="18" customHeight="1" thickTop="1" thickBot="1">
      <c r="B44" s="260"/>
      <c r="C44" s="29" t="s">
        <v>59</v>
      </c>
      <c r="D44" s="171">
        <v>45.093378000000001</v>
      </c>
      <c r="E44" s="171">
        <v>11.75131</v>
      </c>
      <c r="F44" s="171">
        <v>40.317331000000003</v>
      </c>
      <c r="G44" s="171">
        <v>52.947766999999999</v>
      </c>
      <c r="H44" s="171">
        <v>35.885618000000001</v>
      </c>
      <c r="I44" s="171">
        <v>39.929206999999998</v>
      </c>
      <c r="J44" s="171">
        <v>60.442895999999998</v>
      </c>
      <c r="K44" s="171">
        <v>39.065235000000001</v>
      </c>
      <c r="L44" s="171">
        <v>37.132292</v>
      </c>
      <c r="M44" s="171">
        <v>38.154882000000001</v>
      </c>
      <c r="N44" s="171">
        <v>28.732733</v>
      </c>
      <c r="O44" s="171">
        <v>35.472529999999999</v>
      </c>
      <c r="P44" s="34">
        <f>+SUM(D44:O44)</f>
        <v>464.92517899999996</v>
      </c>
      <c r="R44" s="14"/>
    </row>
    <row r="45" spans="2:18" s="3" customFormat="1" ht="18" customHeight="1" thickTop="1" thickBot="1">
      <c r="B45" s="260"/>
      <c r="C45" s="29" t="s">
        <v>60</v>
      </c>
      <c r="D45" s="171">
        <v>1.7314860000000001</v>
      </c>
      <c r="E45" s="171">
        <v>0.23894099999999999</v>
      </c>
      <c r="F45" s="171">
        <v>0.38575399999999999</v>
      </c>
      <c r="G45" s="171">
        <v>0.81815499999999997</v>
      </c>
      <c r="H45" s="171">
        <v>0.12429800000000001</v>
      </c>
      <c r="I45" s="171">
        <v>0.37907099999999999</v>
      </c>
      <c r="J45" s="171">
        <v>0.68535199999999996</v>
      </c>
      <c r="K45" s="171">
        <v>0.69349799999999995</v>
      </c>
      <c r="L45" s="171">
        <v>0.40858800000000001</v>
      </c>
      <c r="M45" s="171">
        <v>2.0574319999999999</v>
      </c>
      <c r="N45" s="171">
        <v>0.43815199999999999</v>
      </c>
      <c r="O45" s="171">
        <v>1.0601050000000001</v>
      </c>
      <c r="P45" s="34">
        <f>+SUM(D45:O45)</f>
        <v>9.0208319999999986</v>
      </c>
      <c r="R45" s="14"/>
    </row>
    <row r="46" spans="2:18" s="3" customFormat="1" ht="18" customHeight="1" thickTop="1" thickBot="1">
      <c r="B46" s="260"/>
      <c r="C46" s="29" t="s">
        <v>139</v>
      </c>
      <c r="D46" s="52">
        <f t="shared" ref="D46:P46" si="17">+D43+D44+D45</f>
        <v>60.240572999999998</v>
      </c>
      <c r="E46" s="52">
        <f t="shared" si="17"/>
        <v>31.628510000000002</v>
      </c>
      <c r="F46" s="52">
        <f t="shared" si="17"/>
        <v>51.292392</v>
      </c>
      <c r="G46" s="52">
        <f t="shared" si="17"/>
        <v>87.768996000000001</v>
      </c>
      <c r="H46" s="52">
        <f t="shared" si="17"/>
        <v>50.130261000000004</v>
      </c>
      <c r="I46" s="52">
        <f t="shared" si="17"/>
        <v>60.947521999999999</v>
      </c>
      <c r="J46" s="52">
        <f t="shared" si="17"/>
        <v>81.764130999999992</v>
      </c>
      <c r="K46" s="52">
        <f t="shared" si="17"/>
        <v>74.509655000000009</v>
      </c>
      <c r="L46" s="52">
        <f t="shared" si="17"/>
        <v>50.283268</v>
      </c>
      <c r="M46" s="52">
        <f t="shared" si="17"/>
        <v>69.051057000000014</v>
      </c>
      <c r="N46" s="52">
        <f t="shared" si="17"/>
        <v>43.520110000000003</v>
      </c>
      <c r="O46" s="52">
        <f t="shared" si="17"/>
        <v>54.587012999999999</v>
      </c>
      <c r="P46" s="34">
        <f t="shared" si="17"/>
        <v>715.72348799999997</v>
      </c>
      <c r="R46" s="46">
        <f t="shared" ref="R46" si="18">+D46</f>
        <v>60.240572999999998</v>
      </c>
    </row>
    <row r="47" spans="2:18" s="3" customFormat="1" ht="18" customHeight="1" thickTop="1" thickBot="1">
      <c r="B47" s="260"/>
      <c r="C47" s="32" t="s">
        <v>156</v>
      </c>
      <c r="D47" s="35">
        <f>+(D46-'Impo 2016'!D46)/'Impo 2016'!D46</f>
        <v>-0.27056103772506435</v>
      </c>
      <c r="E47" s="35">
        <f>+(E46-'Impo 2016'!E46)/'Impo 2016'!E46</f>
        <v>-0.27666225492949414</v>
      </c>
      <c r="F47" s="35">
        <f>+(F46-'Impo 2016'!F46)/'Impo 2016'!F46</f>
        <v>0.27886259390655999</v>
      </c>
      <c r="G47" s="35">
        <f>+(G46-'Impo 2016'!G46)/'Impo 2016'!G46</f>
        <v>1.0553107136351323</v>
      </c>
      <c r="H47" s="35">
        <f>+(H46-'Impo 2016'!H46)/'Impo 2016'!H46</f>
        <v>-9.1971965427949956E-2</v>
      </c>
      <c r="I47" s="35">
        <f>+(I46-'Impo 2016'!I46)/'Impo 2016'!I46</f>
        <v>0.20498914655066891</v>
      </c>
      <c r="J47" s="35">
        <f>+(J46-'Impo 2016'!J46)/'Impo 2016'!J46</f>
        <v>0.22319051749714353</v>
      </c>
      <c r="K47" s="35">
        <f>+(K46-'Impo 2016'!K46)/'Impo 2016'!K46</f>
        <v>-0.13698954638276425</v>
      </c>
      <c r="L47" s="35">
        <f>+(L46-'Impo 2016'!L46)/'Impo 2016'!L46</f>
        <v>-9.4181492325830743E-2</v>
      </c>
      <c r="M47" s="35">
        <f>+(M46-'Impo 2016'!M46)/'Impo 2016'!M46</f>
        <v>1.7547211478499757E-2</v>
      </c>
      <c r="N47" s="35">
        <f>+(N46-'Impo 2016'!N46)/'Impo 2016'!N46</f>
        <v>-0.28226231402300045</v>
      </c>
      <c r="O47" s="35">
        <f>+(O46-'Impo 2016'!O46)/'Impo 2016'!O46</f>
        <v>0.3245883796546456</v>
      </c>
      <c r="P47" s="35">
        <f>+(P46-'Impo 2016'!R46)/'Impo 2016'!R46</f>
        <v>3.2330722223300717E-2</v>
      </c>
      <c r="R47" s="14"/>
    </row>
    <row r="48" spans="2:18" s="3" customFormat="1" ht="18" customHeight="1" thickTop="1" thickBot="1">
      <c r="B48" s="260" t="s">
        <v>86</v>
      </c>
      <c r="C48" s="29" t="s">
        <v>65</v>
      </c>
      <c r="D48" s="34">
        <v>11.007399610000002</v>
      </c>
      <c r="E48" s="34">
        <v>12.423380270000003</v>
      </c>
      <c r="F48" s="34">
        <v>12.642308140000001</v>
      </c>
      <c r="G48" s="34">
        <v>9.6774078999999986</v>
      </c>
      <c r="H48" s="34">
        <v>12.99349322</v>
      </c>
      <c r="I48" s="34">
        <v>13.594472570000002</v>
      </c>
      <c r="J48" s="34">
        <v>13.409183790000005</v>
      </c>
      <c r="K48" s="34">
        <v>11.415530969999999</v>
      </c>
      <c r="L48" s="34">
        <v>11.168685009999999</v>
      </c>
      <c r="M48" s="34">
        <v>10.193892400000001</v>
      </c>
      <c r="N48" s="34">
        <v>10.526764819999999</v>
      </c>
      <c r="O48" s="171">
        <v>9.4420104199999972</v>
      </c>
      <c r="P48" s="34">
        <f>+SUM(D48:O48)</f>
        <v>138.49452912000001</v>
      </c>
      <c r="R48" s="14"/>
    </row>
    <row r="49" spans="2:19" s="3" customFormat="1" ht="18" customHeight="1" thickTop="1" thickBot="1">
      <c r="B49" s="260"/>
      <c r="C49" s="29" t="s">
        <v>59</v>
      </c>
      <c r="D49" s="34">
        <v>12.502462029999997</v>
      </c>
      <c r="E49" s="34">
        <v>34.96974513</v>
      </c>
      <c r="F49" s="34">
        <v>13.275564019999999</v>
      </c>
      <c r="G49" s="34">
        <v>24.536407760000003</v>
      </c>
      <c r="H49" s="34">
        <v>22.537968600000003</v>
      </c>
      <c r="I49" s="34">
        <v>29.233791459999996</v>
      </c>
      <c r="J49" s="34">
        <v>16.87674007</v>
      </c>
      <c r="K49" s="34">
        <v>23.521621769999999</v>
      </c>
      <c r="L49" s="34">
        <v>36.381673980000002</v>
      </c>
      <c r="M49" s="34">
        <v>25.408866549999995</v>
      </c>
      <c r="N49" s="34">
        <v>30.600448350000001</v>
      </c>
      <c r="O49" s="171">
        <v>19.19841796</v>
      </c>
      <c r="P49" s="34">
        <f>+SUM(D49:O49)</f>
        <v>289.04370768000001</v>
      </c>
      <c r="R49" s="14"/>
    </row>
    <row r="50" spans="2:19" s="3" customFormat="1" ht="18" customHeight="1" thickTop="1" thickBot="1">
      <c r="B50" s="260"/>
      <c r="C50" s="29" t="s">
        <v>60</v>
      </c>
      <c r="D50" s="34">
        <v>0.16573581000000004</v>
      </c>
      <c r="E50" s="34">
        <v>0.12358201000000001</v>
      </c>
      <c r="F50" s="34">
        <v>0.52475604000000009</v>
      </c>
      <c r="G50" s="34">
        <v>0.20132445999999998</v>
      </c>
      <c r="H50" s="34">
        <v>0.22735123999999998</v>
      </c>
      <c r="I50" s="34">
        <v>0.24487150000000002</v>
      </c>
      <c r="J50" s="34">
        <v>7.4265310000000001E-2</v>
      </c>
      <c r="K50" s="34">
        <v>0.14366785000000001</v>
      </c>
      <c r="L50" s="34">
        <v>0.16067834</v>
      </c>
      <c r="M50" s="34">
        <v>6.0930460000000006E-2</v>
      </c>
      <c r="N50" s="34">
        <v>0.13444504000000002</v>
      </c>
      <c r="O50" s="171">
        <v>0.22645727000000002</v>
      </c>
      <c r="P50" s="34">
        <f>+SUM(D50:O50)</f>
        <v>2.2880653299999998</v>
      </c>
      <c r="R50" s="14"/>
    </row>
    <row r="51" spans="2:19" s="3" customFormat="1" ht="18" customHeight="1" thickTop="1" thickBot="1">
      <c r="B51" s="260"/>
      <c r="C51" s="29" t="s">
        <v>139</v>
      </c>
      <c r="D51" s="52">
        <f t="shared" ref="D51:P51" si="19">+D48+D49+D50</f>
        <v>23.675597449999998</v>
      </c>
      <c r="E51" s="52">
        <f t="shared" si="19"/>
        <v>47.516707410000002</v>
      </c>
      <c r="F51" s="52">
        <f t="shared" si="19"/>
        <v>26.442628200000001</v>
      </c>
      <c r="G51" s="52">
        <f t="shared" si="19"/>
        <v>34.415140120000004</v>
      </c>
      <c r="H51" s="52">
        <f t="shared" si="19"/>
        <v>35.758813060000001</v>
      </c>
      <c r="I51" s="52">
        <f t="shared" si="19"/>
        <v>43.073135530000002</v>
      </c>
      <c r="J51" s="52">
        <f t="shared" si="19"/>
        <v>30.360189170000005</v>
      </c>
      <c r="K51" s="52">
        <f t="shared" si="19"/>
        <v>35.080820590000002</v>
      </c>
      <c r="L51" s="52">
        <f t="shared" si="19"/>
        <v>47.711037329999996</v>
      </c>
      <c r="M51" s="52">
        <f t="shared" si="19"/>
        <v>35.663689409999996</v>
      </c>
      <c r="N51" s="52">
        <f t="shared" si="19"/>
        <v>41.26165821</v>
      </c>
      <c r="O51" s="52">
        <f t="shared" si="19"/>
        <v>28.866885649999997</v>
      </c>
      <c r="P51" s="34">
        <f t="shared" si="19"/>
        <v>429.82630213000004</v>
      </c>
      <c r="R51" s="46">
        <f t="shared" ref="R51" si="20">+D51</f>
        <v>23.675597449999998</v>
      </c>
      <c r="S51" s="61"/>
    </row>
    <row r="52" spans="2:19" s="3" customFormat="1" ht="18" customHeight="1" thickTop="1" thickBot="1">
      <c r="B52" s="260"/>
      <c r="C52" s="32" t="s">
        <v>156</v>
      </c>
      <c r="D52" s="35">
        <f>+(D51-'Impo 2016'!D51)/'Impo 2016'!D51</f>
        <v>-0.10890522834975193</v>
      </c>
      <c r="E52" s="35">
        <f>+(E51-'Impo 2016'!E51)/'Impo 2016'!E51</f>
        <v>0.87476175411938029</v>
      </c>
      <c r="F52" s="35">
        <f>+(F51-'Impo 2016'!F51)/'Impo 2016'!F51</f>
        <v>-0.34278574241099996</v>
      </c>
      <c r="G52" s="35">
        <f>+(G51-'Impo 2016'!G51)/'Impo 2016'!G51</f>
        <v>-0.31355111235181526</v>
      </c>
      <c r="H52" s="35">
        <f>+(H51-'Impo 2016'!H51)/'Impo 2016'!H51</f>
        <v>0.31665657197682678</v>
      </c>
      <c r="I52" s="35">
        <f>+(I51-'Impo 2016'!I51)/'Impo 2016'!I51</f>
        <v>-0.13828834986607752</v>
      </c>
      <c r="J52" s="35">
        <f>+(J51-'Impo 2016'!J51)/'Impo 2016'!J51</f>
        <v>0.35422669719909039</v>
      </c>
      <c r="K52" s="35">
        <f>+(K51-'Impo 2016'!K51)/'Impo 2016'!K51</f>
        <v>0.26244165683006648</v>
      </c>
      <c r="L52" s="35">
        <f>+(L51-'Impo 2016'!L51)/'Impo 2016'!L51</f>
        <v>-4.8842537996156739E-2</v>
      </c>
      <c r="M52" s="35">
        <f>+(M51-'Impo 2016'!M51)/'Impo 2016'!M51</f>
        <v>0.56979695698979482</v>
      </c>
      <c r="N52" s="35">
        <f>+(N51-'Impo 2016'!N51)/'Impo 2016'!N51</f>
        <v>0.2533643962790022</v>
      </c>
      <c r="O52" s="35">
        <f>+(O51-'Impo 2016'!O51)/'Impo 2016'!O51</f>
        <v>-4.1309961953800094E-2</v>
      </c>
      <c r="P52" s="35">
        <f>+(P51-'Impo 2016'!R51)/'Impo 2016'!R51</f>
        <v>5.9869435621626069E-2</v>
      </c>
      <c r="R52" s="14"/>
    </row>
    <row r="53" spans="2:19" ht="18" customHeight="1" thickTop="1" thickBot="1">
      <c r="B53" s="260" t="s">
        <v>43</v>
      </c>
      <c r="C53" s="29" t="s">
        <v>65</v>
      </c>
      <c r="D53" s="52">
        <v>134.84190504700004</v>
      </c>
      <c r="E53" s="52">
        <v>134.4560766338</v>
      </c>
      <c r="F53" s="52">
        <v>158.91992229819996</v>
      </c>
      <c r="G53" s="52">
        <v>120.12448221740001</v>
      </c>
      <c r="H53" s="52">
        <v>162.15183675329999</v>
      </c>
      <c r="I53" s="52">
        <v>178.2787074288</v>
      </c>
      <c r="J53" s="52">
        <v>128.10156614810998</v>
      </c>
      <c r="K53" s="52">
        <v>142.58515825430004</v>
      </c>
      <c r="L53" s="52">
        <v>139.09481051959997</v>
      </c>
      <c r="M53" s="52">
        <v>123.90097656620001</v>
      </c>
      <c r="N53" s="52">
        <v>135.98542681430001</v>
      </c>
      <c r="O53" s="52">
        <v>108.66600291409999</v>
      </c>
      <c r="P53" s="34">
        <f>+SUM(D53:O53)</f>
        <v>1667.1068715951103</v>
      </c>
      <c r="R53" s="14"/>
    </row>
    <row r="54" spans="2:19" ht="18" customHeight="1" thickTop="1" thickBot="1">
      <c r="B54" s="260"/>
      <c r="C54" s="29" t="s">
        <v>59</v>
      </c>
      <c r="D54" s="52">
        <v>802.27517787900001</v>
      </c>
      <c r="E54" s="52">
        <v>661.37449344150002</v>
      </c>
      <c r="F54" s="52">
        <v>903.51541294200013</v>
      </c>
      <c r="G54" s="52">
        <v>751.12742775240008</v>
      </c>
      <c r="H54" s="52">
        <v>951.34802035539997</v>
      </c>
      <c r="I54" s="52">
        <v>886.03942995900013</v>
      </c>
      <c r="J54" s="52">
        <v>773.21672656190003</v>
      </c>
      <c r="K54" s="52">
        <v>779.08186730009993</v>
      </c>
      <c r="L54" s="52">
        <v>743.25318974920003</v>
      </c>
      <c r="M54" s="52">
        <v>790.09861794949984</v>
      </c>
      <c r="N54" s="52">
        <v>627.5489475974</v>
      </c>
      <c r="O54" s="52">
        <v>632.3971193758299</v>
      </c>
      <c r="P54" s="34">
        <f>+SUM(D54:O54)</f>
        <v>9301.2764308632286</v>
      </c>
      <c r="R54" s="14"/>
    </row>
    <row r="55" spans="2:19" ht="18" customHeight="1" thickTop="1" thickBot="1">
      <c r="B55" s="260"/>
      <c r="C55" s="29" t="s">
        <v>60</v>
      </c>
      <c r="D55" s="52">
        <v>9.6589912480000013</v>
      </c>
      <c r="E55" s="52">
        <v>9.6031652808000008</v>
      </c>
      <c r="F55" s="52">
        <v>7.6230735619000018</v>
      </c>
      <c r="G55" s="52">
        <v>9.0680299641000026</v>
      </c>
      <c r="H55" s="52">
        <v>10.162843580900002</v>
      </c>
      <c r="I55" s="52">
        <v>10.548932383499999</v>
      </c>
      <c r="J55" s="52">
        <v>10.539790719299997</v>
      </c>
      <c r="K55" s="52">
        <v>10.731402700499999</v>
      </c>
      <c r="L55" s="52">
        <v>10.227627199799995</v>
      </c>
      <c r="M55" s="52">
        <v>9.0546493774000023</v>
      </c>
      <c r="N55" s="52">
        <v>10.6515212522</v>
      </c>
      <c r="O55" s="52">
        <v>9.288122768600001</v>
      </c>
      <c r="P55" s="34">
        <f>+SUM(D55:O55)</f>
        <v>117.15815003700001</v>
      </c>
      <c r="R55" s="14"/>
    </row>
    <row r="56" spans="2:19" ht="18" customHeight="1" thickTop="1" thickBot="1">
      <c r="B56" s="260"/>
      <c r="C56" s="29" t="s">
        <v>139</v>
      </c>
      <c r="D56" s="52">
        <f t="shared" ref="D56:P56" si="21">+D53+D54+D55</f>
        <v>946.77607417400009</v>
      </c>
      <c r="E56" s="52">
        <f t="shared" si="21"/>
        <v>805.43373535609999</v>
      </c>
      <c r="F56" s="52">
        <f t="shared" si="21"/>
        <v>1070.0584088021001</v>
      </c>
      <c r="G56" s="52">
        <f t="shared" si="21"/>
        <v>880.31993993390006</v>
      </c>
      <c r="H56" s="52">
        <f t="shared" si="21"/>
        <v>1123.6627006895999</v>
      </c>
      <c r="I56" s="52">
        <f t="shared" si="21"/>
        <v>1074.8670697713001</v>
      </c>
      <c r="J56" s="52">
        <f t="shared" si="21"/>
        <v>911.85808342931</v>
      </c>
      <c r="K56" s="52">
        <f t="shared" si="21"/>
        <v>932.39842825489995</v>
      </c>
      <c r="L56" s="52">
        <f t="shared" si="21"/>
        <v>892.57562746859992</v>
      </c>
      <c r="M56" s="52">
        <f t="shared" si="21"/>
        <v>923.05424389309985</v>
      </c>
      <c r="N56" s="52">
        <f t="shared" si="21"/>
        <v>774.18589566390006</v>
      </c>
      <c r="O56" s="52">
        <f t="shared" si="21"/>
        <v>750.35124505852991</v>
      </c>
      <c r="P56" s="34">
        <f t="shared" si="21"/>
        <v>11085.541452495338</v>
      </c>
      <c r="Q56" s="4" t="s">
        <v>17</v>
      </c>
      <c r="R56" s="46">
        <f t="shared" ref="R56" si="22">+D56</f>
        <v>946.77607417400009</v>
      </c>
    </row>
    <row r="57" spans="2:19" ht="18" customHeight="1" thickTop="1" thickBot="1">
      <c r="B57" s="260"/>
      <c r="C57" s="32" t="s">
        <v>156</v>
      </c>
      <c r="D57" s="35">
        <f>+(D56-'Impo 2016'!D56)/'Impo 2016'!D56</f>
        <v>0.2140021199806201</v>
      </c>
      <c r="E57" s="35">
        <f>+(E56-'Impo 2016'!E56)/'Impo 2016'!E56</f>
        <v>0.12826391816166355</v>
      </c>
      <c r="F57" s="35">
        <f>+(F56-'Impo 2016'!F56)/'Impo 2016'!F56</f>
        <v>0.30405900418201531</v>
      </c>
      <c r="G57" s="35">
        <f>+(G56-'Impo 2016'!G56)/'Impo 2016'!G56</f>
        <v>-3.2180590753855813E-2</v>
      </c>
      <c r="H57" s="35">
        <f>+(H56-'Impo 2016'!H56)/'Impo 2016'!H56</f>
        <v>0.52870183142344407</v>
      </c>
      <c r="I57" s="35">
        <f>+(I56-'Impo 2016'!I56)/'Impo 2016'!I56</f>
        <v>0.48791714294677607</v>
      </c>
      <c r="J57" s="35">
        <f>+(J56-'Impo 2016'!J56)/'Impo 2016'!J56</f>
        <v>0.19135335059467307</v>
      </c>
      <c r="K57" s="35">
        <f>+(K56-'Impo 2016'!K56)/'Impo 2016'!K56</f>
        <v>9.9274784174205544E-2</v>
      </c>
      <c r="L57" s="35">
        <f>+(L56-'Impo 2016'!L56)/'Impo 2016'!L56</f>
        <v>-1.3899017892018042E-2</v>
      </c>
      <c r="M57" s="35">
        <f>+(M56-'Impo 2016'!M56)/'Impo 2016'!M56</f>
        <v>8.1631250587807055E-2</v>
      </c>
      <c r="N57" s="35">
        <f>+(N56-'Impo 2016'!N56)/'Impo 2016'!N56</f>
        <v>-0.24483138764568632</v>
      </c>
      <c r="O57" s="35">
        <f>+(O56-'Impo 2016'!O56)/'Impo 2016'!O56</f>
        <v>-0.11305244731228367</v>
      </c>
      <c r="P57" s="35">
        <f>+(P56-'Impo 2016'!R56)/'Impo 2016'!R56</f>
        <v>0.11696987150676884</v>
      </c>
      <c r="R57" s="14"/>
    </row>
    <row r="58" spans="2:19" s="3" customFormat="1" ht="18" customHeight="1" thickTop="1" thickBot="1">
      <c r="B58" s="260" t="s">
        <v>71</v>
      </c>
      <c r="C58" s="29" t="s">
        <v>65</v>
      </c>
      <c r="D58" s="34">
        <v>21.49670631</v>
      </c>
      <c r="E58" s="34">
        <v>14.733684100000005</v>
      </c>
      <c r="F58" s="34">
        <v>7.9755502100000024</v>
      </c>
      <c r="G58" s="34">
        <v>42.991240490000003</v>
      </c>
      <c r="H58" s="34">
        <v>29.280378679999995</v>
      </c>
      <c r="I58" s="34">
        <v>5.1606308599999968</v>
      </c>
      <c r="J58" s="34">
        <v>26.731753950000002</v>
      </c>
      <c r="K58" s="34">
        <v>26.511449810000002</v>
      </c>
      <c r="L58" s="34">
        <v>23.718082839999997</v>
      </c>
      <c r="M58" s="34">
        <v>18.541470439999998</v>
      </c>
      <c r="N58" s="34">
        <v>9.5385964399999974</v>
      </c>
      <c r="O58" s="34">
        <v>27.231231470000008</v>
      </c>
      <c r="P58" s="34">
        <f>+SUM(D58:O58)</f>
        <v>253.91077559999997</v>
      </c>
      <c r="R58" s="14"/>
    </row>
    <row r="59" spans="2:19" s="3" customFormat="1" ht="18" customHeight="1" thickTop="1" thickBot="1">
      <c r="B59" s="260"/>
      <c r="C59" s="29" t="s">
        <v>59</v>
      </c>
      <c r="D59" s="34">
        <v>21.956071519999995</v>
      </c>
      <c r="E59" s="34">
        <v>5.3106990400000003</v>
      </c>
      <c r="F59" s="34">
        <v>9.8960758099999975</v>
      </c>
      <c r="G59" s="34">
        <v>21.652118890000001</v>
      </c>
      <c r="H59" s="34">
        <v>12.61891483</v>
      </c>
      <c r="I59" s="34">
        <v>26.865494429999995</v>
      </c>
      <c r="J59" s="34">
        <v>39.143525589999989</v>
      </c>
      <c r="K59" s="34">
        <v>16.261131210000002</v>
      </c>
      <c r="L59" s="34">
        <v>4.48892618</v>
      </c>
      <c r="M59" s="34">
        <v>4.2348982799999995</v>
      </c>
      <c r="N59" s="34">
        <v>15.669164369999999</v>
      </c>
      <c r="O59" s="34">
        <v>2.0830501800000003</v>
      </c>
      <c r="P59" s="34">
        <f>+SUM(D59:O59)</f>
        <v>180.18007032999998</v>
      </c>
      <c r="R59" s="14"/>
    </row>
    <row r="60" spans="2:19" s="3" customFormat="1" ht="18" customHeight="1" thickTop="1" thickBot="1">
      <c r="B60" s="260"/>
      <c r="C60" s="29" t="s">
        <v>60</v>
      </c>
      <c r="D60" s="52">
        <v>6.861979E-2</v>
      </c>
      <c r="E60" s="52">
        <v>1.0554396300000002</v>
      </c>
      <c r="F60" s="52">
        <v>0.6655868399999999</v>
      </c>
      <c r="G60" s="52">
        <v>0.81767198000000008</v>
      </c>
      <c r="H60" s="52">
        <v>0.87313995</v>
      </c>
      <c r="I60" s="52">
        <v>2.1470507600000008</v>
      </c>
      <c r="J60" s="52">
        <v>3.0868634500000001</v>
      </c>
      <c r="K60" s="52">
        <v>0.27160701999999998</v>
      </c>
      <c r="L60" s="52">
        <v>0.13094903999999999</v>
      </c>
      <c r="M60" s="52">
        <v>1.2348257600000003</v>
      </c>
      <c r="N60" s="52">
        <v>0.21480567999999994</v>
      </c>
      <c r="O60" s="52">
        <v>0.13241445999999998</v>
      </c>
      <c r="P60" s="34">
        <f>+SUM(D60:O60)</f>
        <v>10.698974360000001</v>
      </c>
      <c r="R60" s="14"/>
    </row>
    <row r="61" spans="2:19" s="3" customFormat="1" ht="18" customHeight="1" thickTop="1" thickBot="1">
      <c r="B61" s="260"/>
      <c r="C61" s="29" t="s">
        <v>139</v>
      </c>
      <c r="D61" s="52">
        <f t="shared" ref="D61:P61" si="23">+D58+D59+D60</f>
        <v>43.521397619999995</v>
      </c>
      <c r="E61" s="52">
        <f t="shared" si="23"/>
        <v>21.099822770000003</v>
      </c>
      <c r="F61" s="52">
        <f t="shared" si="23"/>
        <v>18.53721286</v>
      </c>
      <c r="G61" s="52">
        <f t="shared" si="23"/>
        <v>65.461031360000007</v>
      </c>
      <c r="H61" s="52">
        <f t="shared" si="23"/>
        <v>42.772433459999995</v>
      </c>
      <c r="I61" s="52">
        <f t="shared" si="23"/>
        <v>34.173176049999988</v>
      </c>
      <c r="J61" s="52">
        <f t="shared" si="23"/>
        <v>68.96214298999999</v>
      </c>
      <c r="K61" s="52">
        <f t="shared" si="23"/>
        <v>43.044188040000002</v>
      </c>
      <c r="L61" s="52">
        <f t="shared" si="23"/>
        <v>28.337958059999998</v>
      </c>
      <c r="M61" s="52">
        <f t="shared" si="23"/>
        <v>24.011194479999997</v>
      </c>
      <c r="N61" s="52">
        <f t="shared" si="23"/>
        <v>25.422566489999998</v>
      </c>
      <c r="O61" s="52">
        <f t="shared" si="23"/>
        <v>29.446696110000008</v>
      </c>
      <c r="P61" s="34">
        <f t="shared" si="23"/>
        <v>444.78982028999997</v>
      </c>
      <c r="R61" s="46">
        <f t="shared" ref="R61" si="24">+D61</f>
        <v>43.521397619999995</v>
      </c>
    </row>
    <row r="62" spans="2:19" s="3" customFormat="1" ht="18" customHeight="1" thickTop="1" thickBot="1">
      <c r="B62" s="260"/>
      <c r="C62" s="32" t="s">
        <v>156</v>
      </c>
      <c r="D62" s="35">
        <f>+(D61-'Impo 2016'!D61)/'Impo 2016'!D61</f>
        <v>-0.17233107764579148</v>
      </c>
      <c r="E62" s="35">
        <f>+(E61-'Impo 2016'!E61)/'Impo 2016'!E61</f>
        <v>0.10289094051929781</v>
      </c>
      <c r="F62" s="35">
        <f>+(F61-'Impo 2016'!F61)/'Impo 2016'!F61</f>
        <v>-0.50779119109636495</v>
      </c>
      <c r="G62" s="35">
        <f>+(G61-'Impo 2016'!G61)/'Impo 2016'!G61</f>
        <v>0.856727178491409</v>
      </c>
      <c r="H62" s="35">
        <f>+(H61-'Impo 2016'!H61)/'Impo 2016'!H61</f>
        <v>1.5892644986729647E-2</v>
      </c>
      <c r="I62" s="35">
        <f>+(I61-'Impo 2016'!I61)/'Impo 2016'!I61</f>
        <v>-0.11614615693639881</v>
      </c>
      <c r="J62" s="35">
        <f>+(J61-'Impo 2016'!J61)/'Impo 2016'!J61</f>
        <v>0.83135279846928001</v>
      </c>
      <c r="K62" s="35">
        <f>+(K61-'Impo 2016'!K61)/'Impo 2016'!K61</f>
        <v>-0.44686388690943102</v>
      </c>
      <c r="L62" s="35">
        <f>+(L61-'Impo 2016'!L61)/'Impo 2016'!L61</f>
        <v>-0.1419506486198979</v>
      </c>
      <c r="M62" s="35">
        <f>+(M61-'Impo 2016'!M61)/'Impo 2016'!M61</f>
        <v>-0.54342539836474979</v>
      </c>
      <c r="N62" s="35">
        <f>+(N61-'Impo 2016'!N61)/'Impo 2016'!N61</f>
        <v>-0.39280829117351596</v>
      </c>
      <c r="O62" s="35">
        <f>+(O61-'Impo 2016'!O61)/'Impo 2016'!O61</f>
        <v>-0.54884956421440967</v>
      </c>
      <c r="P62" s="35">
        <f>+(P61-'Impo 2016'!R61)/'Impo 2016'!R61</f>
        <v>-0.16648128312344918</v>
      </c>
      <c r="R62" s="14"/>
    </row>
    <row r="63" spans="2:19" s="3" customFormat="1" ht="18" customHeight="1" thickTop="1" thickBot="1">
      <c r="B63" s="261" t="s">
        <v>6</v>
      </c>
      <c r="C63" s="29" t="s">
        <v>65</v>
      </c>
      <c r="D63" s="34">
        <v>10.82776048</v>
      </c>
      <c r="E63" s="34">
        <v>10.156729689999999</v>
      </c>
      <c r="F63" s="34">
        <v>8.0430864599999996</v>
      </c>
      <c r="G63" s="34">
        <v>4.3934235399999997</v>
      </c>
      <c r="H63" s="34">
        <v>6.5888471400000004</v>
      </c>
      <c r="I63" s="34">
        <v>10.050631010000002</v>
      </c>
      <c r="J63" s="34">
        <v>1.7552000000000002E-2</v>
      </c>
      <c r="K63" s="34">
        <v>11.411660719999999</v>
      </c>
      <c r="L63" s="34">
        <v>8.9986318300000008</v>
      </c>
      <c r="M63" s="34">
        <v>7.4430946799999997</v>
      </c>
      <c r="N63" s="34">
        <v>6.4299016199999999</v>
      </c>
      <c r="O63" s="34">
        <v>7.4430946799999997</v>
      </c>
      <c r="P63" s="34">
        <f>+SUM(D63:O63)</f>
        <v>91.804413850000003</v>
      </c>
      <c r="R63" s="14"/>
    </row>
    <row r="64" spans="2:19" s="3" customFormat="1" ht="18" customHeight="1" thickTop="1" thickBot="1">
      <c r="B64" s="261"/>
      <c r="C64" s="29" t="s">
        <v>59</v>
      </c>
      <c r="D64" s="34">
        <v>14.28208916</v>
      </c>
      <c r="E64" s="34">
        <v>17.818396019999998</v>
      </c>
      <c r="F64" s="34">
        <v>18.371743250000005</v>
      </c>
      <c r="G64" s="34">
        <v>11.083624649999999</v>
      </c>
      <c r="H64" s="34">
        <v>22.067318889999999</v>
      </c>
      <c r="I64" s="34">
        <v>22.153415239999998</v>
      </c>
      <c r="J64" s="34">
        <v>1.9744000000000001E-2</v>
      </c>
      <c r="K64" s="34">
        <v>22.238365469999994</v>
      </c>
      <c r="L64" s="34">
        <v>21.601015969999992</v>
      </c>
      <c r="M64" s="34">
        <v>18.052911470000002</v>
      </c>
      <c r="N64" s="34">
        <v>22.493082649999998</v>
      </c>
      <c r="O64" s="34">
        <v>18.331322620000002</v>
      </c>
      <c r="P64" s="34">
        <f>+SUM(D64:O64)</f>
        <v>208.51302938999999</v>
      </c>
      <c r="R64" s="14"/>
    </row>
    <row r="65" spans="2:20" s="3" customFormat="1" ht="18" customHeight="1" thickTop="1" thickBot="1">
      <c r="B65" s="261"/>
      <c r="C65" s="29" t="s">
        <v>60</v>
      </c>
      <c r="D65" s="52">
        <v>4.5300230000000004E-2</v>
      </c>
      <c r="E65" s="52">
        <v>9.6059449999999991E-2</v>
      </c>
      <c r="F65" s="52">
        <v>0.26595125999999997</v>
      </c>
      <c r="G65" s="52">
        <v>0.11698160000000001</v>
      </c>
      <c r="H65" s="52">
        <v>0.56554461</v>
      </c>
      <c r="I65" s="52">
        <v>0.25700690000000004</v>
      </c>
      <c r="J65" s="52">
        <v>4.764E-3</v>
      </c>
      <c r="K65" s="52">
        <v>0.42460429</v>
      </c>
      <c r="L65" s="52">
        <v>0.23784369000000002</v>
      </c>
      <c r="M65" s="52">
        <v>0.36818252000000001</v>
      </c>
      <c r="N65" s="52">
        <v>0.69631585000000007</v>
      </c>
      <c r="O65" s="52">
        <v>0.60974262999999995</v>
      </c>
      <c r="P65" s="34">
        <f>+SUM(D65:O65)</f>
        <v>3.6882970299999998</v>
      </c>
      <c r="R65" s="14"/>
    </row>
    <row r="66" spans="2:20" s="3" customFormat="1" ht="18" customHeight="1" thickTop="1" thickBot="1">
      <c r="B66" s="261"/>
      <c r="C66" s="29" t="s">
        <v>139</v>
      </c>
      <c r="D66" s="52">
        <f t="shared" ref="D66:P66" si="25">+D63+D64+D65</f>
        <v>25.155149869999999</v>
      </c>
      <c r="E66" s="52">
        <f t="shared" si="25"/>
        <v>28.071185159999995</v>
      </c>
      <c r="F66" s="52">
        <f t="shared" si="25"/>
        <v>26.680780970000008</v>
      </c>
      <c r="G66" s="52">
        <f t="shared" si="25"/>
        <v>15.594029789999999</v>
      </c>
      <c r="H66" s="52">
        <f t="shared" si="25"/>
        <v>29.221710640000001</v>
      </c>
      <c r="I66" s="52">
        <f t="shared" si="25"/>
        <v>32.461053149999998</v>
      </c>
      <c r="J66" s="52">
        <f t="shared" si="25"/>
        <v>4.206E-2</v>
      </c>
      <c r="K66" s="52">
        <f t="shared" si="25"/>
        <v>34.074630479999989</v>
      </c>
      <c r="L66" s="52">
        <f t="shared" si="25"/>
        <v>30.837491489999991</v>
      </c>
      <c r="M66" s="52">
        <f t="shared" si="25"/>
        <v>25.864188670000001</v>
      </c>
      <c r="N66" s="52">
        <f t="shared" si="25"/>
        <v>29.619300119999998</v>
      </c>
      <c r="O66" s="52">
        <f t="shared" si="25"/>
        <v>26.384159930000003</v>
      </c>
      <c r="P66" s="34">
        <f t="shared" si="25"/>
        <v>304.00574026999999</v>
      </c>
      <c r="R66" s="46">
        <f t="shared" ref="R66" si="26">+D66</f>
        <v>25.155149869999999</v>
      </c>
    </row>
    <row r="67" spans="2:20" s="3" customFormat="1" ht="18" customHeight="1" thickTop="1" thickBot="1">
      <c r="B67" s="261"/>
      <c r="C67" s="32" t="s">
        <v>156</v>
      </c>
      <c r="D67" s="35">
        <f>+(D66-'Impo 2016'!D66)/'Impo 2016'!D66</f>
        <v>0.80999114093223867</v>
      </c>
      <c r="E67" s="35">
        <f>+(E66-'Impo 2016'!E66)/'Impo 2016'!E66</f>
        <v>0.29630849896167716</v>
      </c>
      <c r="F67" s="35">
        <f>+(F66-'Impo 2016'!F66)/'Impo 2016'!F66</f>
        <v>0.22609139298691813</v>
      </c>
      <c r="G67" s="35">
        <f>+(G66-'Impo 2016'!G66)/'Impo 2016'!G66</f>
        <v>-0.14699743745424393</v>
      </c>
      <c r="H67" s="35">
        <f>+(H66-'Impo 2016'!H66)/'Impo 2016'!H66</f>
        <v>0.20553837818480258</v>
      </c>
      <c r="I67" s="35">
        <f>+(I66-'Impo 2016'!I66)/'Impo 2016'!I66</f>
        <v>0.11006233325094684</v>
      </c>
      <c r="J67" s="35">
        <f>+(J66-'Impo 2016'!J66)/'Impo 2016'!J66</f>
        <v>-0.99738209350939655</v>
      </c>
      <c r="K67" s="35">
        <f>+(K66-'Impo 2016'!K66)/'Impo 2016'!K66</f>
        <v>1.0714472364265731E-2</v>
      </c>
      <c r="L67" s="35">
        <f>+(L66-'Impo 2016'!L66)/'Impo 2016'!L66</f>
        <v>0.48315520232436615</v>
      </c>
      <c r="M67" s="35">
        <f>+(M66-'Impo 2016'!M66)/'Impo 2016'!M66</f>
        <v>9.2195331749236886E-2</v>
      </c>
      <c r="N67" s="35">
        <f>+(N66-'Impo 2016'!N66)/'Impo 2016'!N66</f>
        <v>-4.6186299900501895E-2</v>
      </c>
      <c r="O67" s="35">
        <f>+(O66-'Impo 2016'!O66)/'Impo 2016'!O66</f>
        <v>-0.20065577258785852</v>
      </c>
      <c r="P67" s="35">
        <f>+(P66-'Impo 2016'!R66)/'Impo 2016'!R66</f>
        <v>5.7815418874585633E-2</v>
      </c>
      <c r="R67" s="14"/>
    </row>
    <row r="68" spans="2:20" s="3" customFormat="1" ht="18" customHeight="1" thickTop="1" thickBot="1">
      <c r="B68" s="261" t="s">
        <v>44</v>
      </c>
      <c r="C68" s="29" t="s">
        <v>65</v>
      </c>
      <c r="D68" s="34">
        <v>79.259530164448421</v>
      </c>
      <c r="E68" s="34">
        <v>79.259530164448421</v>
      </c>
      <c r="F68" s="34">
        <v>79.259530164448421</v>
      </c>
      <c r="G68" s="34">
        <v>95.665132840751724</v>
      </c>
      <c r="H68" s="171">
        <v>95.665132840751724</v>
      </c>
      <c r="I68" s="171">
        <v>95.665132840751724</v>
      </c>
      <c r="J68" s="34">
        <v>96.216766201490898</v>
      </c>
      <c r="K68" s="34">
        <v>96.216766201490898</v>
      </c>
      <c r="L68" s="34">
        <v>96.216766201490898</v>
      </c>
      <c r="M68" s="34">
        <v>79.355030676807232</v>
      </c>
      <c r="N68" s="34">
        <v>79.355030676807232</v>
      </c>
      <c r="O68" s="34">
        <v>79.355030676807232</v>
      </c>
      <c r="P68" s="34">
        <f>+SUM(D68:O68)</f>
        <v>1051.489379650495</v>
      </c>
      <c r="R68" s="14"/>
      <c r="S68" s="44"/>
    </row>
    <row r="69" spans="2:20" s="3" customFormat="1" ht="18" customHeight="1" thickTop="1" thickBot="1">
      <c r="B69" s="261"/>
      <c r="C69" s="29" t="s">
        <v>59</v>
      </c>
      <c r="D69" s="34">
        <v>93.424487300077303</v>
      </c>
      <c r="E69" s="34">
        <v>93.424487300077303</v>
      </c>
      <c r="F69" s="34">
        <v>93.424487300077303</v>
      </c>
      <c r="G69" s="34">
        <v>112.76203592927537</v>
      </c>
      <c r="H69" s="171">
        <v>112.76203592927537</v>
      </c>
      <c r="I69" s="171">
        <v>112.76203592927537</v>
      </c>
      <c r="J69" s="34">
        <v>113.41225507387222</v>
      </c>
      <c r="K69" s="34">
        <v>113.41225507387222</v>
      </c>
      <c r="L69" s="34">
        <v>113.41225507387222</v>
      </c>
      <c r="M69" s="34">
        <v>93.537055295187855</v>
      </c>
      <c r="N69" s="34">
        <v>93.537055295187855</v>
      </c>
      <c r="O69" s="34">
        <v>93.537055295187855</v>
      </c>
      <c r="P69" s="34">
        <f>+SUM(D69:O69)</f>
        <v>1239.4075007952381</v>
      </c>
      <c r="R69" s="14"/>
      <c r="S69" s="44"/>
    </row>
    <row r="70" spans="2:20" s="3" customFormat="1" ht="18" customHeight="1" thickTop="1" thickBot="1">
      <c r="B70" s="261"/>
      <c r="C70" s="29" t="s">
        <v>60</v>
      </c>
      <c r="D70" s="34">
        <v>6.5826492021409138</v>
      </c>
      <c r="E70" s="34">
        <v>6.5826492021409138</v>
      </c>
      <c r="F70" s="34">
        <v>6.5826492021409138</v>
      </c>
      <c r="G70" s="34">
        <v>7.9451645633062551</v>
      </c>
      <c r="H70" s="171">
        <v>7.9451645633062551</v>
      </c>
      <c r="I70" s="171">
        <v>7.9451645633062551</v>
      </c>
      <c r="J70" s="34">
        <v>7.9909787246368857</v>
      </c>
      <c r="K70" s="34">
        <v>7.9909787246368857</v>
      </c>
      <c r="L70" s="34">
        <v>7.9909787246368857</v>
      </c>
      <c r="M70" s="34">
        <v>6.590580694671571</v>
      </c>
      <c r="N70" s="34">
        <v>6.590580694671571</v>
      </c>
      <c r="O70" s="34">
        <v>6.590580694671571</v>
      </c>
      <c r="P70" s="34">
        <f>+SUM(D70:O70)</f>
        <v>87.328119554266891</v>
      </c>
      <c r="R70" s="14"/>
      <c r="S70" s="44"/>
    </row>
    <row r="71" spans="2:20" s="3" customFormat="1" ht="18" customHeight="1" thickTop="1" thickBot="1">
      <c r="B71" s="261"/>
      <c r="C71" s="29" t="s">
        <v>139</v>
      </c>
      <c r="D71" s="52">
        <f t="shared" ref="D71:P71" si="27">+D68+D69+D70</f>
        <v>179.26666666666662</v>
      </c>
      <c r="E71" s="52">
        <f t="shared" si="27"/>
        <v>179.26666666666662</v>
      </c>
      <c r="F71" s="52">
        <f t="shared" si="27"/>
        <v>179.26666666666662</v>
      </c>
      <c r="G71" s="52">
        <f t="shared" si="27"/>
        <v>216.37233333333336</v>
      </c>
      <c r="H71" s="52">
        <f t="shared" si="27"/>
        <v>216.37233333333336</v>
      </c>
      <c r="I71" s="52">
        <f t="shared" si="27"/>
        <v>216.37233333333336</v>
      </c>
      <c r="J71" s="52">
        <f t="shared" si="27"/>
        <v>217.62</v>
      </c>
      <c r="K71" s="52">
        <f t="shared" si="27"/>
        <v>217.62</v>
      </c>
      <c r="L71" s="52">
        <f t="shared" si="27"/>
        <v>217.62</v>
      </c>
      <c r="M71" s="52">
        <f t="shared" si="27"/>
        <v>179.48266666666663</v>
      </c>
      <c r="N71" s="52">
        <f t="shared" si="27"/>
        <v>179.48266666666663</v>
      </c>
      <c r="O71" s="52">
        <f t="shared" si="27"/>
        <v>179.48266666666663</v>
      </c>
      <c r="P71" s="34">
        <f t="shared" si="27"/>
        <v>2378.2249999999999</v>
      </c>
      <c r="R71" s="46">
        <f t="shared" ref="R71" si="28">+D71</f>
        <v>179.26666666666662</v>
      </c>
      <c r="T71" s="44"/>
    </row>
    <row r="72" spans="2:20" s="3" customFormat="1" ht="18" customHeight="1" thickTop="1" thickBot="1">
      <c r="B72" s="261"/>
      <c r="C72" s="32" t="s">
        <v>156</v>
      </c>
      <c r="D72" s="35">
        <f>+(D71-'Impo 2016'!D71)/'Impo 2016'!D71</f>
        <v>5.2715690479794367E-2</v>
      </c>
      <c r="E72" s="35">
        <f>+(E71-'Impo 2016'!E71)/'Impo 2016'!E71</f>
        <v>0.16448666153398434</v>
      </c>
      <c r="F72" s="35">
        <f>+(F71-'Impo 2016'!F71)/'Impo 2016'!F71</f>
        <v>0.40631156246209749</v>
      </c>
      <c r="G72" s="35">
        <f>+(G71-'Impo 2016'!G71)/'Impo 2016'!G71</f>
        <v>0.30829872743101766</v>
      </c>
      <c r="H72" s="35">
        <f>+(H71-'Impo 2016'!H71)/'Impo 2016'!H71</f>
        <v>1.1076895837503897</v>
      </c>
      <c r="I72" s="35">
        <f>+(I71-'Impo 2016'!I71)/'Impo 2016'!I71</f>
        <v>0.21712760514719673</v>
      </c>
      <c r="J72" s="35">
        <f>+(J71-'Impo 2016'!J71)/'Impo 2016'!J71</f>
        <v>0.56051030129904855</v>
      </c>
      <c r="K72" s="35">
        <f>+(K71-'Impo 2016'!K71)/'Impo 2016'!K71</f>
        <v>0.45638299469313576</v>
      </c>
      <c r="L72" s="35">
        <f>+(L71-'Impo 2016'!L71)/'Impo 2016'!L71</f>
        <v>0.59334595930583001</v>
      </c>
      <c r="M72" s="35">
        <f>+(M71-'Impo 2016'!M71)/'Impo 2016'!M71</f>
        <v>7.1273933208722454E-2</v>
      </c>
      <c r="N72" s="35">
        <f>+(N71-'Impo 2016'!N71)/'Impo 2016'!N71</f>
        <v>0.68525619493526246</v>
      </c>
      <c r="O72" s="35">
        <f>+(O71-'Impo 2016'!O71)/'Impo 2016'!O71</f>
        <v>0.17076113845899041</v>
      </c>
      <c r="P72" s="35">
        <f>+(P71-'Impo 2016'!R71)/'Impo 2016'!R71</f>
        <v>0.35872902832979631</v>
      </c>
      <c r="R72" s="14"/>
    </row>
    <row r="73" spans="2:20" s="3" customFormat="1" ht="18" customHeight="1" thickTop="1" thickBot="1">
      <c r="B73" s="261" t="s">
        <v>7</v>
      </c>
      <c r="C73" s="29" t="s">
        <v>65</v>
      </c>
      <c r="D73" s="34">
        <v>2.3939830300000002</v>
      </c>
      <c r="E73" s="34">
        <v>4.58641758</v>
      </c>
      <c r="F73" s="34">
        <v>2.44133625</v>
      </c>
      <c r="G73" s="34">
        <v>3.2676580600000005</v>
      </c>
      <c r="H73" s="34">
        <v>3.6573364699999993</v>
      </c>
      <c r="I73" s="34">
        <v>2.1711640700000001</v>
      </c>
      <c r="J73" s="34">
        <v>2.3886964399999999</v>
      </c>
      <c r="K73" s="34">
        <v>3.2502658400000004</v>
      </c>
      <c r="L73" s="34">
        <v>4.7708414299999999</v>
      </c>
      <c r="M73" s="34">
        <v>3.8357752299999999</v>
      </c>
      <c r="N73" s="34">
        <v>3.9199504100000002</v>
      </c>
      <c r="O73" s="34">
        <v>1.9708858099999997</v>
      </c>
      <c r="P73" s="34">
        <f t="shared" ref="P73:P79" si="29">+SUM(D73:O73)</f>
        <v>38.654310619999997</v>
      </c>
      <c r="R73" s="14"/>
    </row>
    <row r="74" spans="2:20" s="3" customFormat="1" ht="18" customHeight="1" thickTop="1" thickBot="1">
      <c r="B74" s="261"/>
      <c r="C74" s="29" t="s">
        <v>59</v>
      </c>
      <c r="D74" s="34">
        <v>7.0469227400000003</v>
      </c>
      <c r="E74" s="34">
        <v>6.1341602800000006</v>
      </c>
      <c r="F74" s="34">
        <v>8.6634002300000006</v>
      </c>
      <c r="G74" s="34">
        <v>8.0895771800000009</v>
      </c>
      <c r="H74" s="34">
        <v>9.0311186499999998</v>
      </c>
      <c r="I74" s="34">
        <v>12.183620730000003</v>
      </c>
      <c r="J74" s="34">
        <v>9.0596338700000008</v>
      </c>
      <c r="K74" s="34">
        <v>7.4659286799999993</v>
      </c>
      <c r="L74" s="34">
        <v>7.876657220000002</v>
      </c>
      <c r="M74" s="34">
        <v>8.5478861899999998</v>
      </c>
      <c r="N74" s="34">
        <v>6.0636290100000005</v>
      </c>
      <c r="O74" s="34">
        <v>6.8693273600000015</v>
      </c>
      <c r="P74" s="34">
        <f t="shared" si="29"/>
        <v>97.031862140000001</v>
      </c>
      <c r="R74" s="14"/>
    </row>
    <row r="75" spans="2:20" s="3" customFormat="1" ht="18" customHeight="1" thickTop="1" thickBot="1">
      <c r="B75" s="261"/>
      <c r="C75" s="29" t="s">
        <v>60</v>
      </c>
      <c r="D75" s="52">
        <v>0.14706254999999999</v>
      </c>
      <c r="E75" s="52">
        <v>4.203167E-2</v>
      </c>
      <c r="F75" s="52">
        <v>0.27329246000000007</v>
      </c>
      <c r="G75" s="52">
        <v>0.27305352999999993</v>
      </c>
      <c r="H75" s="52">
        <v>0.10476818</v>
      </c>
      <c r="I75" s="52">
        <v>0.16985078000000001</v>
      </c>
      <c r="J75" s="52">
        <v>2.1580129999999996E-2</v>
      </c>
      <c r="K75" s="52">
        <v>0.16879540000000001</v>
      </c>
      <c r="L75" s="52">
        <v>0.19828158000000001</v>
      </c>
      <c r="M75" s="52">
        <v>6.7748080000000002E-2</v>
      </c>
      <c r="N75" s="52">
        <v>0.13605280000000006</v>
      </c>
      <c r="O75" s="52">
        <v>0.13874764000000001</v>
      </c>
      <c r="P75" s="34">
        <f t="shared" si="29"/>
        <v>1.7412648000000002</v>
      </c>
      <c r="R75" s="14"/>
    </row>
    <row r="76" spans="2:20" s="3" customFormat="1" ht="18" customHeight="1" thickTop="1" thickBot="1">
      <c r="B76" s="261"/>
      <c r="C76" s="29" t="s">
        <v>139</v>
      </c>
      <c r="D76" s="52">
        <f t="shared" ref="D76:P76" si="30">+D73+D74+D75</f>
        <v>9.5879683199999999</v>
      </c>
      <c r="E76" s="52">
        <f t="shared" si="30"/>
        <v>10.762609530000001</v>
      </c>
      <c r="F76" s="52">
        <f t="shared" si="30"/>
        <v>11.37802894</v>
      </c>
      <c r="G76" s="52">
        <f t="shared" si="30"/>
        <v>11.630288770000002</v>
      </c>
      <c r="H76" s="52">
        <f t="shared" si="30"/>
        <v>12.793223299999999</v>
      </c>
      <c r="I76" s="52">
        <f t="shared" si="30"/>
        <v>14.524635580000004</v>
      </c>
      <c r="J76" s="52">
        <f t="shared" si="30"/>
        <v>11.469910440000001</v>
      </c>
      <c r="K76" s="52">
        <f t="shared" si="30"/>
        <v>10.884989920000001</v>
      </c>
      <c r="L76" s="52">
        <f t="shared" si="30"/>
        <v>12.845780230000003</v>
      </c>
      <c r="M76" s="52">
        <f t="shared" si="30"/>
        <v>12.451409499999999</v>
      </c>
      <c r="N76" s="52">
        <f t="shared" si="30"/>
        <v>10.119632220000002</v>
      </c>
      <c r="O76" s="52">
        <f t="shared" si="30"/>
        <v>8.978960810000002</v>
      </c>
      <c r="P76" s="34">
        <f t="shared" si="30"/>
        <v>137.42743756000002</v>
      </c>
      <c r="R76" s="46">
        <f t="shared" ref="R76" si="31">+D76</f>
        <v>9.5879683199999999</v>
      </c>
    </row>
    <row r="77" spans="2:20" s="3" customFormat="1" ht="18" customHeight="1" thickTop="1" thickBot="1">
      <c r="B77" s="261"/>
      <c r="C77" s="32" t="s">
        <v>156</v>
      </c>
      <c r="D77" s="35">
        <f>+(D76-'Impo 2016'!D76)/'Impo 2016'!D76</f>
        <v>-3.6661315102312991E-2</v>
      </c>
      <c r="E77" s="35">
        <f>+(E76-'Impo 2016'!E76)/'Impo 2016'!E76</f>
        <v>0.46580287082303123</v>
      </c>
      <c r="F77" s="35">
        <f>+(F76-'Impo 2016'!F76)/'Impo 2016'!F76</f>
        <v>3.9018240973549292E-2</v>
      </c>
      <c r="G77" s="35">
        <f>+(G76-'Impo 2016'!G76)/'Impo 2016'!G76</f>
        <v>0.27371897657103295</v>
      </c>
      <c r="H77" s="35">
        <f>+(H76-'Impo 2016'!H76)/'Impo 2016'!H76</f>
        <v>-3.1997436261244176E-2</v>
      </c>
      <c r="I77" s="35">
        <f>+(I76-'Impo 2016'!I76)/'Impo 2016'!I76</f>
        <v>0.39759734931223373</v>
      </c>
      <c r="J77" s="35">
        <f>+(J76-'Impo 2016'!J76)/'Impo 2016'!J76</f>
        <v>0.22656991515993502</v>
      </c>
      <c r="K77" s="35">
        <f>+(K76-'Impo 2016'!K76)/'Impo 2016'!K76</f>
        <v>-1.1446152739123224E-2</v>
      </c>
      <c r="L77" s="35">
        <f>+(L76-'Impo 2016'!L76)/'Impo 2016'!L76</f>
        <v>0.21067480111550629</v>
      </c>
      <c r="M77" s="35">
        <f>+(M76-'Impo 2016'!M76)/'Impo 2016'!M76</f>
        <v>0.39241999491758267</v>
      </c>
      <c r="N77" s="35">
        <f>+(N76-'Impo 2016'!N76)/'Impo 2016'!N76</f>
        <v>-0.11876591569209258</v>
      </c>
      <c r="O77" s="35">
        <f>+(O76-'Impo 2016'!O76)/'Impo 2016'!O76</f>
        <v>-0.11445549639294464</v>
      </c>
      <c r="P77" s="35">
        <f>+(P76-'Impo 2016'!R76)/'Impo 2016'!R76</f>
        <v>0.12164036961741002</v>
      </c>
      <c r="R77" s="14"/>
    </row>
    <row r="78" spans="2:20" s="3" customFormat="1" ht="18" customHeight="1" thickTop="1" thickBot="1">
      <c r="B78" s="261" t="s">
        <v>3</v>
      </c>
      <c r="C78" s="29" t="s">
        <v>65</v>
      </c>
      <c r="D78" s="171">
        <v>2.6196079999999999</v>
      </c>
      <c r="E78" s="171">
        <v>0.81871099999999997</v>
      </c>
      <c r="F78" s="171">
        <v>1.4095869999999999</v>
      </c>
      <c r="G78" s="171">
        <v>0.263048</v>
      </c>
      <c r="H78" s="171">
        <v>1.884849</v>
      </c>
      <c r="I78" s="171">
        <v>6.1351570000000004</v>
      </c>
      <c r="J78" s="171">
        <v>0.61013499999999998</v>
      </c>
      <c r="K78" s="171">
        <v>0.48126000000000002</v>
      </c>
      <c r="L78" s="171">
        <v>1.1698139999999999</v>
      </c>
      <c r="M78" s="171">
        <v>0.425423</v>
      </c>
      <c r="N78" s="30">
        <v>1</v>
      </c>
      <c r="O78" s="30">
        <v>2</v>
      </c>
      <c r="P78" s="34">
        <f>+SUM(D78:O78)</f>
        <v>18.817592000000005</v>
      </c>
      <c r="Q78" s="2"/>
      <c r="R78" s="14"/>
      <c r="S78" s="2"/>
      <c r="T78" s="2"/>
    </row>
    <row r="79" spans="2:20" s="3" customFormat="1" ht="18" customHeight="1" thickTop="1" thickBot="1">
      <c r="B79" s="261"/>
      <c r="C79" s="29" t="s">
        <v>59</v>
      </c>
      <c r="D79" s="34">
        <v>6.8664180000000004</v>
      </c>
      <c r="E79" s="34">
        <v>1.0612060000000001</v>
      </c>
      <c r="F79" s="34">
        <v>2.0300400000000001</v>
      </c>
      <c r="G79" s="34">
        <v>1.434623</v>
      </c>
      <c r="H79" s="34">
        <v>1.672172</v>
      </c>
      <c r="I79" s="34">
        <v>0.838059</v>
      </c>
      <c r="J79" s="34">
        <v>3.0594570000000001</v>
      </c>
      <c r="K79" s="34">
        <v>3.9983680000000001</v>
      </c>
      <c r="L79" s="171">
        <v>0.92718999999999996</v>
      </c>
      <c r="M79" s="171">
        <v>2.7512750000000001</v>
      </c>
      <c r="N79" s="30">
        <v>3</v>
      </c>
      <c r="O79" s="30">
        <v>2</v>
      </c>
      <c r="P79" s="34">
        <f t="shared" si="29"/>
        <v>29.638808000000001</v>
      </c>
      <c r="Q79" s="2"/>
      <c r="R79" s="14"/>
      <c r="S79" s="2"/>
      <c r="T79" s="2"/>
    </row>
    <row r="80" spans="2:20" s="3" customFormat="1" ht="18" customHeight="1" thickTop="1" thickBot="1">
      <c r="B80" s="261"/>
      <c r="C80" s="29" t="s">
        <v>60</v>
      </c>
      <c r="D80" s="34">
        <v>0.76385099999999995</v>
      </c>
      <c r="E80" s="34">
        <v>5.1197980000000003</v>
      </c>
      <c r="F80" s="34">
        <v>12.546383000000001</v>
      </c>
      <c r="G80" s="34">
        <v>7.9128970000000001</v>
      </c>
      <c r="H80" s="34">
        <v>7.7218410000000004</v>
      </c>
      <c r="I80" s="34">
        <v>11.540246</v>
      </c>
      <c r="J80" s="34">
        <v>2.3109250000000001</v>
      </c>
      <c r="K80" s="34">
        <v>3.2671899999999998</v>
      </c>
      <c r="L80" s="171">
        <v>0.27020100000000002</v>
      </c>
      <c r="M80" s="171">
        <v>1.085982</v>
      </c>
      <c r="N80" s="30">
        <v>2</v>
      </c>
      <c r="O80" s="30">
        <v>5</v>
      </c>
      <c r="P80" s="34">
        <f>+SUM(D80:O80)</f>
        <v>59.539314000000005</v>
      </c>
      <c r="Q80" s="2"/>
      <c r="R80" s="14"/>
      <c r="S80" s="2"/>
      <c r="T80" s="2"/>
    </row>
    <row r="81" spans="2:22" s="3" customFormat="1" ht="18" customHeight="1" thickTop="1" thickBot="1">
      <c r="B81" s="261"/>
      <c r="C81" s="29" t="s">
        <v>139</v>
      </c>
      <c r="D81" s="52">
        <f t="shared" ref="D81:P81" si="32">+D78+D79+D80</f>
        <v>10.249877000000001</v>
      </c>
      <c r="E81" s="52">
        <f t="shared" si="32"/>
        <v>6.9997150000000001</v>
      </c>
      <c r="F81" s="52">
        <f t="shared" si="32"/>
        <v>15.98601</v>
      </c>
      <c r="G81" s="52">
        <f t="shared" si="32"/>
        <v>9.6105680000000007</v>
      </c>
      <c r="H81" s="52">
        <f t="shared" si="32"/>
        <v>11.278862</v>
      </c>
      <c r="I81" s="52">
        <f t="shared" si="32"/>
        <v>18.513462000000001</v>
      </c>
      <c r="J81" s="52">
        <f t="shared" si="32"/>
        <v>5.9805170000000007</v>
      </c>
      <c r="K81" s="52">
        <f t="shared" si="32"/>
        <v>7.7468179999999993</v>
      </c>
      <c r="L81" s="52">
        <f t="shared" si="32"/>
        <v>2.3672050000000002</v>
      </c>
      <c r="M81" s="52">
        <f t="shared" si="32"/>
        <v>4.2626799999999996</v>
      </c>
      <c r="N81" s="53">
        <f t="shared" si="32"/>
        <v>6</v>
      </c>
      <c r="O81" s="53">
        <f t="shared" si="32"/>
        <v>9</v>
      </c>
      <c r="P81" s="34">
        <f t="shared" si="32"/>
        <v>107.99571400000001</v>
      </c>
      <c r="Q81" s="2"/>
      <c r="R81" s="46">
        <f t="shared" ref="R81:R86" si="33">+D81</f>
        <v>10.249877000000001</v>
      </c>
      <c r="S81" s="12"/>
      <c r="T81" s="61"/>
    </row>
    <row r="82" spans="2:22" s="3" customFormat="1" ht="18" customHeight="1" thickTop="1" thickBot="1">
      <c r="B82" s="261"/>
      <c r="C82" s="32" t="s">
        <v>156</v>
      </c>
      <c r="D82" s="35">
        <f>+(D81-'Impo 2016'!D81)/'Impo 2016'!D81</f>
        <v>-0.51100131434882479</v>
      </c>
      <c r="E82" s="35">
        <f>+(E81-'Impo 2016'!E81)/'Impo 2016'!E81</f>
        <v>-0.77537415124475229</v>
      </c>
      <c r="F82" s="35">
        <f>+(F81-'Impo 2016'!F81)/'Impo 2016'!F81</f>
        <v>0.51690533286875417</v>
      </c>
      <c r="G82" s="35">
        <f>+(G81-'Impo 2016'!G81)/'Impo 2016'!G81</f>
        <v>-0.57818401878914538</v>
      </c>
      <c r="H82" s="35">
        <f>+(H81-'Impo 2016'!H81)/'Impo 2016'!H81</f>
        <v>-6.8707657737661021E-2</v>
      </c>
      <c r="I82" s="35">
        <f>+(I81-'Impo 2016'!I81)/'Impo 2016'!I81</f>
        <v>-0.19478119193592172</v>
      </c>
      <c r="J82" s="35">
        <f>+(J81-'Impo 2016'!J81)/'Impo 2016'!J81</f>
        <v>-0.60261508498218863</v>
      </c>
      <c r="K82" s="35">
        <f>+(K81-'Impo 2016'!K81)/'Impo 2016'!K81</f>
        <v>-0.26656177821337185</v>
      </c>
      <c r="L82" s="35">
        <f>+(L81-'Impo 2016'!L81)/'Impo 2016'!L81</f>
        <v>-0.81380762369335458</v>
      </c>
      <c r="M82" s="35">
        <f>+(M81-'Impo 2016'!M81)/'Impo 2016'!M81</f>
        <v>-0.76166016853451035</v>
      </c>
      <c r="N82" s="37">
        <f>+(N81-'Impo 2016'!N81)/'Impo 2016'!N81</f>
        <v>0.29426801054828439</v>
      </c>
      <c r="O82" s="37">
        <f>+(O81-'Impo 2016'!O81)/'Impo 2016'!O81</f>
        <v>0.13907858414557017</v>
      </c>
      <c r="P82" s="35">
        <f>+(P81-'Impo 2016'!R81)/'Impo 2016'!R81</f>
        <v>-0.42948579235930517</v>
      </c>
      <c r="Q82" s="2"/>
      <c r="R82" s="14"/>
      <c r="S82" s="2"/>
      <c r="T82" s="67"/>
    </row>
    <row r="83" spans="2:22" ht="18" customHeight="1" thickTop="1" thickBot="1">
      <c r="B83" s="261" t="s">
        <v>61</v>
      </c>
      <c r="C83" s="29" t="s">
        <v>65</v>
      </c>
      <c r="D83" s="34">
        <f>+D3+D8+D13+D18+D23+D28+D33+D38+D43+D48+D53+D58+D63+D68+D73+D78</f>
        <v>519.74878072144838</v>
      </c>
      <c r="E83" s="34">
        <f t="shared" ref="E83:O83" si="34">+E3+E8+E13+E18+E23+E28+E33+E38+E43+E48+E53+E58+E63+E68+E73+E78</f>
        <v>492.71275844824845</v>
      </c>
      <c r="F83" s="34">
        <f t="shared" si="34"/>
        <v>612.01334930264841</v>
      </c>
      <c r="G83" s="34">
        <f t="shared" si="34"/>
        <v>544.31295150815174</v>
      </c>
      <c r="H83" s="34">
        <f t="shared" si="34"/>
        <v>595.75674738759028</v>
      </c>
      <c r="I83" s="34">
        <f t="shared" si="34"/>
        <v>549.23160539955177</v>
      </c>
      <c r="J83" s="34">
        <f t="shared" si="34"/>
        <v>481.54156805960082</v>
      </c>
      <c r="K83" s="34">
        <f t="shared" si="34"/>
        <v>582.66495469579093</v>
      </c>
      <c r="L83" s="34">
        <f t="shared" si="34"/>
        <v>509.70012731462941</v>
      </c>
      <c r="M83" s="34">
        <f t="shared" si="34"/>
        <v>480.04899863654589</v>
      </c>
      <c r="N83" s="34">
        <f t="shared" si="34"/>
        <v>449.11682716464571</v>
      </c>
      <c r="O83" s="34">
        <f t="shared" si="34"/>
        <v>452.09162671444585</v>
      </c>
      <c r="P83" s="34">
        <f t="shared" ref="P83" si="35">+P3+P8+P13+P18+P23+P28+P33+P38+P43+P48+P53+P58+P63+P68+P73+P78</f>
        <v>6268.940295353299</v>
      </c>
      <c r="Q83" s="34"/>
      <c r="R83" s="46">
        <f t="shared" si="33"/>
        <v>519.74878072144838</v>
      </c>
      <c r="S83" s="3"/>
      <c r="T83" s="3"/>
      <c r="U83" s="61"/>
      <c r="V83" s="14"/>
    </row>
    <row r="84" spans="2:22" ht="18" customHeight="1" thickTop="1" thickBot="1">
      <c r="B84" s="261"/>
      <c r="C84" s="29" t="s">
        <v>59</v>
      </c>
      <c r="D84" s="34">
        <f t="shared" ref="D84:O85" si="36">+D4+D9+D14+D19+D24+D29+D34+D39+D44+D49+D54+D59+D64+D69+D74+D79</f>
        <v>1589.7793491890773</v>
      </c>
      <c r="E84" s="34">
        <f t="shared" si="36"/>
        <v>1270.0643822515774</v>
      </c>
      <c r="F84" s="34">
        <f t="shared" si="36"/>
        <v>1688.0310055620776</v>
      </c>
      <c r="G84" s="34">
        <f t="shared" si="36"/>
        <v>1501.7735059916758</v>
      </c>
      <c r="H84" s="34">
        <f t="shared" si="36"/>
        <v>1693.1832253352909</v>
      </c>
      <c r="I84" s="34">
        <f t="shared" si="36"/>
        <v>1686.0354688782752</v>
      </c>
      <c r="J84" s="34">
        <f t="shared" si="36"/>
        <v>1553.8335801057724</v>
      </c>
      <c r="K84" s="34">
        <f t="shared" si="36"/>
        <v>1608.5917276739722</v>
      </c>
      <c r="L84" s="34">
        <f t="shared" si="36"/>
        <v>1542.5117672836877</v>
      </c>
      <c r="M84" s="34">
        <f t="shared" si="36"/>
        <v>1559.8867474153033</v>
      </c>
      <c r="N84" s="34">
        <f t="shared" si="36"/>
        <v>1293.4280608532035</v>
      </c>
      <c r="O84" s="34">
        <f t="shared" si="36"/>
        <v>1249.7833252016333</v>
      </c>
      <c r="P84" s="34">
        <f t="shared" ref="P84" si="37">+P4+P9+P14+P19+P24+P29+P34+P39+P44+P49+P54+P59+P64+P69+P74+P79</f>
        <v>18236.902145741544</v>
      </c>
      <c r="Q84" s="5"/>
      <c r="R84" s="46">
        <f t="shared" si="33"/>
        <v>1589.7793491890773</v>
      </c>
      <c r="S84" s="3"/>
      <c r="T84" s="3"/>
      <c r="U84" s="61"/>
      <c r="V84" s="14"/>
    </row>
    <row r="85" spans="2:22" ht="18" customHeight="1" thickTop="1" thickBot="1">
      <c r="B85" s="261"/>
      <c r="C85" s="29" t="s">
        <v>60</v>
      </c>
      <c r="D85" s="34">
        <f t="shared" si="36"/>
        <v>51.296682910140916</v>
      </c>
      <c r="E85" s="34">
        <f t="shared" si="36"/>
        <v>40.981456062940907</v>
      </c>
      <c r="F85" s="34">
        <f t="shared" si="36"/>
        <v>62.684080944040907</v>
      </c>
      <c r="G85" s="34">
        <f t="shared" si="36"/>
        <v>48.295173547406243</v>
      </c>
      <c r="H85" s="34">
        <f t="shared" si="36"/>
        <v>47.373583574206251</v>
      </c>
      <c r="I85" s="34">
        <f t="shared" si="36"/>
        <v>56.639243196806248</v>
      </c>
      <c r="J85" s="34">
        <f t="shared" si="36"/>
        <v>43.588500153936884</v>
      </c>
      <c r="K85" s="34">
        <f t="shared" si="36"/>
        <v>59.166750425136861</v>
      </c>
      <c r="L85" s="34">
        <f t="shared" si="36"/>
        <v>43.454343984436875</v>
      </c>
      <c r="M85" s="34">
        <f t="shared" si="36"/>
        <v>42.51553458207156</v>
      </c>
      <c r="N85" s="34">
        <f t="shared" si="36"/>
        <v>42.188254306871578</v>
      </c>
      <c r="O85" s="34">
        <f t="shared" si="36"/>
        <v>50.82462955127157</v>
      </c>
      <c r="P85" s="34">
        <f t="shared" ref="P85" si="38">+P5+P10+P15+P20+P25+P30+P35+P40+P45+P50+P55+P60+P65+P70+P75+P80</f>
        <v>589.00823323926681</v>
      </c>
      <c r="Q85" s="5"/>
      <c r="R85" s="46">
        <f t="shared" si="33"/>
        <v>51.296682910140916</v>
      </c>
      <c r="S85" s="36"/>
      <c r="T85" s="3"/>
      <c r="U85" s="61"/>
      <c r="V85" s="14"/>
    </row>
    <row r="86" spans="2:22" ht="18" customHeight="1" thickTop="1" thickBot="1">
      <c r="B86" s="261"/>
      <c r="C86" s="29" t="s">
        <v>139</v>
      </c>
      <c r="D86" s="34">
        <f>+D83+D84+D85</f>
        <v>2160.8248128206665</v>
      </c>
      <c r="E86" s="34">
        <f t="shared" ref="E86:O86" si="39">+E83+E84+E85</f>
        <v>1803.7585967627667</v>
      </c>
      <c r="F86" s="34">
        <f t="shared" si="39"/>
        <v>2362.7284358087668</v>
      </c>
      <c r="G86" s="34">
        <f t="shared" si="39"/>
        <v>2094.3816310472339</v>
      </c>
      <c r="H86" s="34">
        <f t="shared" si="39"/>
        <v>2336.3135562970874</v>
      </c>
      <c r="I86" s="34">
        <f t="shared" si="39"/>
        <v>2291.9063174746329</v>
      </c>
      <c r="J86" s="34">
        <f t="shared" si="39"/>
        <v>2078.9636483193103</v>
      </c>
      <c r="K86" s="34">
        <f t="shared" si="39"/>
        <v>2250.4234327948998</v>
      </c>
      <c r="L86" s="34">
        <f t="shared" si="39"/>
        <v>2095.666238582754</v>
      </c>
      <c r="M86" s="34">
        <f t="shared" si="39"/>
        <v>2082.4512806339208</v>
      </c>
      <c r="N86" s="34">
        <f t="shared" si="39"/>
        <v>1784.7331423247208</v>
      </c>
      <c r="O86" s="34">
        <f t="shared" si="39"/>
        <v>1752.6995814673508</v>
      </c>
      <c r="P86" s="34">
        <f>+P83+P84+P85</f>
        <v>25094.850674334109</v>
      </c>
      <c r="Q86" s="5"/>
      <c r="R86" s="46">
        <f t="shared" si="33"/>
        <v>2160.8248128206665</v>
      </c>
      <c r="S86" s="63"/>
      <c r="T86" s="62"/>
      <c r="V86" s="14"/>
    </row>
    <row r="87" spans="2:22" ht="18" customHeight="1" thickTop="1" thickBot="1">
      <c r="B87" s="261"/>
      <c r="C87" s="32" t="s">
        <v>156</v>
      </c>
      <c r="D87" s="35">
        <f>+(D86-'Impo 2016'!D86)/'Impo 2016'!D86</f>
        <v>0.15520499076156402</v>
      </c>
      <c r="E87" s="35">
        <f>+(E86-'Impo 2016'!E86)/'Impo 2016'!E86</f>
        <v>5.7800970140402821E-2</v>
      </c>
      <c r="F87" s="35">
        <f>+(F86-'Impo 2016'!F86)/'Impo 2016'!F86</f>
        <v>0.25355923802692532</v>
      </c>
      <c r="G87" s="35">
        <f>+(G86-'Impo 2016'!G86)/'Impo 2016'!G86</f>
        <v>0.12880995007812837</v>
      </c>
      <c r="H87" s="35">
        <f>+(H86-'Impo 2016'!H86)/'Impo 2016'!H86</f>
        <v>0.34149309903987024</v>
      </c>
      <c r="I87" s="35">
        <f>+(I86-'Impo 2016'!I86)/'Impo 2016'!I86</f>
        <v>0.32132998460529411</v>
      </c>
      <c r="J87" s="35">
        <f>+(J86-'Impo 2016'!J86)/'Impo 2016'!J86</f>
        <v>0.27735871919747984</v>
      </c>
      <c r="K87" s="35">
        <f>+(K86-'Impo 2016'!K86)/'Impo 2016'!K86</f>
        <v>0.16849079191590921</v>
      </c>
      <c r="L87" s="35">
        <f>+(L86-'Impo 2016'!L86)/'Impo 2016'!L86</f>
        <v>5.9839445024153802E-2</v>
      </c>
      <c r="M87" s="35">
        <f>+(M86-'Impo 2016'!M86)/'Impo 2016'!M86</f>
        <v>6.1258542894095984E-2</v>
      </c>
      <c r="N87" s="35">
        <f>+(N86-'Impo 2016'!N86)/'Impo 2016'!N86</f>
        <v>-0.14711191620984085</v>
      </c>
      <c r="O87" s="35">
        <f>+(O86-'Impo 2016'!O86)/'Impo 2016'!O86</f>
        <v>-8.1439996398063957E-2</v>
      </c>
      <c r="P87" s="35">
        <f>+(P86-'Impo 2016'!R86)/'Impo 2016'!R86</f>
        <v>0.12604825861613478</v>
      </c>
      <c r="Q87" s="6"/>
      <c r="R87" s="14"/>
      <c r="S87" s="64"/>
    </row>
    <row r="88" spans="2:22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4"/>
    </row>
    <row r="89" spans="2:22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2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2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92">
        <f>+P86-'Expo 2017'!P86</f>
        <v>14472.202984245563</v>
      </c>
      <c r="Q91" s="2"/>
      <c r="R91" s="2"/>
      <c r="S91" s="2"/>
      <c r="T91" s="2"/>
    </row>
    <row r="92" spans="2:22" ht="18" customHeight="1">
      <c r="B92" s="36" t="s">
        <v>92</v>
      </c>
    </row>
    <row r="93" spans="2:22">
      <c r="P93" s="14"/>
    </row>
    <row r="94" spans="2:22"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22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22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</sheetData>
  <mergeCells count="17">
    <mergeCell ref="B58:B6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1500-000000000000}"/>
  </hyperlinks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V105"/>
  <sheetViews>
    <sheetView zoomScale="90" zoomScaleNormal="90" zoomScaleSheetLayoutView="90" workbookViewId="0">
      <pane xSplit="3" ySplit="2" topLeftCell="N63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6384" width="11.42578125" style="2"/>
  </cols>
  <sheetData>
    <row r="1" spans="2:20" s="8" customFormat="1" ht="38.25" customHeight="1" thickBot="1">
      <c r="B1" s="22" t="s">
        <v>80</v>
      </c>
      <c r="P1" s="87" t="s">
        <v>111</v>
      </c>
    </row>
    <row r="2" spans="2:20" ht="30" customHeight="1" thickTop="1">
      <c r="B2" s="33" t="s">
        <v>36</v>
      </c>
      <c r="C2" s="21" t="s">
        <v>23</v>
      </c>
      <c r="D2" s="74" t="s">
        <v>27</v>
      </c>
      <c r="E2" s="74" t="s">
        <v>28</v>
      </c>
      <c r="F2" s="74" t="s">
        <v>26</v>
      </c>
      <c r="G2" s="74" t="s">
        <v>22</v>
      </c>
      <c r="H2" s="74" t="s">
        <v>29</v>
      </c>
      <c r="I2" s="74" t="s">
        <v>30</v>
      </c>
      <c r="J2" s="74" t="s">
        <v>31</v>
      </c>
      <c r="K2" s="74" t="s">
        <v>32</v>
      </c>
      <c r="L2" s="74" t="s">
        <v>33</v>
      </c>
      <c r="M2" s="74" t="s">
        <v>24</v>
      </c>
      <c r="N2" s="74" t="s">
        <v>34</v>
      </c>
      <c r="O2" s="74" t="s">
        <v>35</v>
      </c>
      <c r="P2" s="56" t="s">
        <v>25</v>
      </c>
      <c r="R2" s="36" t="s">
        <v>176</v>
      </c>
    </row>
    <row r="3" spans="2:20" ht="18" customHeight="1" thickBot="1">
      <c r="B3" s="259" t="s">
        <v>0</v>
      </c>
      <c r="C3" s="29" t="s">
        <v>65</v>
      </c>
      <c r="D3" s="34">
        <v>19.352271609999999</v>
      </c>
      <c r="E3" s="34">
        <v>12.051613789999999</v>
      </c>
      <c r="F3" s="34">
        <v>18.216816140000002</v>
      </c>
      <c r="G3" s="34">
        <v>19.608345289999999</v>
      </c>
      <c r="H3" s="34">
        <v>12.46006199</v>
      </c>
      <c r="I3" s="34">
        <v>13.459764720000003</v>
      </c>
      <c r="J3" s="34">
        <v>12.045440660000001</v>
      </c>
      <c r="K3" s="34">
        <v>13.956700419999999</v>
      </c>
      <c r="L3" s="34">
        <v>22.546412859999997</v>
      </c>
      <c r="M3" s="34">
        <v>15.507478830000002</v>
      </c>
      <c r="N3" s="34">
        <v>6.2645875700000015</v>
      </c>
      <c r="O3" s="34">
        <v>8.5541631999999996</v>
      </c>
      <c r="P3" s="34">
        <f>+SUM(D3:O3)</f>
        <v>174.02365708000002</v>
      </c>
      <c r="R3" s="14"/>
      <c r="T3" s="7"/>
    </row>
    <row r="4" spans="2:20" ht="18" customHeight="1" thickTop="1" thickBot="1">
      <c r="B4" s="260"/>
      <c r="C4" s="29" t="s">
        <v>59</v>
      </c>
      <c r="D4" s="34">
        <v>27.191862390000001</v>
      </c>
      <c r="E4" s="34">
        <v>39.256210719999999</v>
      </c>
      <c r="F4" s="34">
        <v>49.005159410000005</v>
      </c>
      <c r="G4" s="34">
        <v>49.579323130000006</v>
      </c>
      <c r="H4" s="34">
        <v>37.936307649999996</v>
      </c>
      <c r="I4" s="34">
        <v>20.241020549999998</v>
      </c>
      <c r="J4" s="34">
        <v>25.48427642</v>
      </c>
      <c r="K4" s="34">
        <v>18.685248560000005</v>
      </c>
      <c r="L4" s="34">
        <v>21.22752702</v>
      </c>
      <c r="M4" s="34">
        <v>35.663169860000004</v>
      </c>
      <c r="N4" s="34">
        <v>25.191981813333332</v>
      </c>
      <c r="O4" s="34">
        <v>27.360892897777777</v>
      </c>
      <c r="P4" s="34">
        <f>+SUM(D4:O4)</f>
        <v>376.82298042111108</v>
      </c>
      <c r="R4" s="14"/>
      <c r="T4" s="7"/>
    </row>
    <row r="5" spans="2:20" ht="18" customHeight="1" thickTop="1" thickBot="1">
      <c r="B5" s="260"/>
      <c r="C5" s="29" t="s">
        <v>60</v>
      </c>
      <c r="D5" s="34">
        <v>1.86685031</v>
      </c>
      <c r="E5" s="34">
        <v>0.83682042000000001</v>
      </c>
      <c r="F5" s="34">
        <v>3.0118802299999996</v>
      </c>
      <c r="G5" s="34">
        <v>2.4005272</v>
      </c>
      <c r="H5" s="34">
        <v>2.4633544600000001</v>
      </c>
      <c r="I5" s="34">
        <v>1.9897999</v>
      </c>
      <c r="J5" s="34">
        <v>2.0307991799999998</v>
      </c>
      <c r="K5" s="34">
        <v>0.88905186000000003</v>
      </c>
      <c r="L5" s="34">
        <v>2.8116252100000003</v>
      </c>
      <c r="M5" s="34">
        <v>0.62972839000000003</v>
      </c>
      <c r="N5" s="34">
        <v>1.4434684866666669</v>
      </c>
      <c r="O5" s="34">
        <v>1.6282740288888891</v>
      </c>
      <c r="P5" s="34">
        <f>+SUM(D5:O5)</f>
        <v>22.002179675555556</v>
      </c>
      <c r="R5" s="14"/>
      <c r="T5" s="7"/>
    </row>
    <row r="6" spans="2:20" ht="18" customHeight="1" thickTop="1" thickBot="1">
      <c r="B6" s="260"/>
      <c r="C6" s="29" t="s">
        <v>139</v>
      </c>
      <c r="D6" s="52">
        <f>+D3+D4+D5</f>
        <v>48.410984309999996</v>
      </c>
      <c r="E6" s="52">
        <f>+E3+E4+E5</f>
        <v>52.144644929999998</v>
      </c>
      <c r="F6" s="52">
        <f>+F3+F4+F5</f>
        <v>70.233855780000013</v>
      </c>
      <c r="G6" s="52">
        <f>+G3+G4+G5</f>
        <v>71.588195620000008</v>
      </c>
      <c r="H6" s="52">
        <f>+H3+H4+H5</f>
        <v>52.859724099999994</v>
      </c>
      <c r="I6" s="52">
        <f t="shared" ref="I6:O6" si="0">+I3+I4+I5</f>
        <v>35.690585169999999</v>
      </c>
      <c r="J6" s="52">
        <f t="shared" si="0"/>
        <v>39.56051626</v>
      </c>
      <c r="K6" s="52">
        <f t="shared" si="0"/>
        <v>33.531000840000004</v>
      </c>
      <c r="L6" s="52">
        <f t="shared" si="0"/>
        <v>46.585565090000003</v>
      </c>
      <c r="M6" s="52">
        <f t="shared" si="0"/>
        <v>51.800377080000004</v>
      </c>
      <c r="N6" s="52">
        <f t="shared" si="0"/>
        <v>32.900037869999998</v>
      </c>
      <c r="O6" s="52">
        <f t="shared" si="0"/>
        <v>37.543330126666667</v>
      </c>
      <c r="P6" s="34">
        <f>+P3+P4+P5</f>
        <v>572.84881717666667</v>
      </c>
      <c r="R6" s="46">
        <f>+D6+E6+F6+G6+H6+I6+J6+K6+L6+M6+N6+O6</f>
        <v>572.84881717666667</v>
      </c>
    </row>
    <row r="7" spans="2:20" ht="18" customHeight="1" thickTop="1" thickBot="1">
      <c r="B7" s="260"/>
      <c r="C7" s="32" t="s">
        <v>81</v>
      </c>
      <c r="D7" s="35">
        <f>+(D6-'Impo 2015'!D6)/'Impo 2015'!D6</f>
        <v>-0.27116511416251909</v>
      </c>
      <c r="E7" s="35">
        <f>+(E6-'Impo 2015'!E6)/'Impo 2015'!E6</f>
        <v>-0.15337182405998445</v>
      </c>
      <c r="F7" s="35">
        <f>+(F6-'Impo 2015'!F6)/'Impo 2015'!F6</f>
        <v>-0.30308543681011613</v>
      </c>
      <c r="G7" s="35">
        <f>+(G6-'Impo 2015'!G6)/'Impo 2015'!G6</f>
        <v>-0.25836301155892522</v>
      </c>
      <c r="H7" s="35">
        <f>+(H6-'Impo 2015'!H6)/'Impo 2015'!H6</f>
        <v>-0.31898823256799513</v>
      </c>
      <c r="I7" s="35">
        <f>+(I6-'Impo 2015'!I6)/'Impo 2015'!I6</f>
        <v>-0.60585274583753523</v>
      </c>
      <c r="J7" s="35">
        <f>+(J6-'Impo 2015'!J6)/'Impo 2015'!J6</f>
        <v>-0.75139981482804397</v>
      </c>
      <c r="K7" s="35">
        <f>+(K6-'Impo 2015'!K6)/'Impo 2015'!K6</f>
        <v>-0.66652352370036261</v>
      </c>
      <c r="L7" s="35">
        <f>+(L6-'Impo 2015'!L6)/'Impo 2015'!L6</f>
        <v>-0.50178422567034597</v>
      </c>
      <c r="M7" s="35">
        <f>+(M6-'Impo 2015'!M6)/'Impo 2015'!M6</f>
        <v>-5.1364218653699938E-2</v>
      </c>
      <c r="N7" s="35">
        <f>+(N6-'Impo 2015'!N6)/'Impo 2015'!N6</f>
        <v>-0.32457848865315031</v>
      </c>
      <c r="O7" s="35">
        <f>+(O6-'Impo 2015'!O6)/'Impo 2015'!O6</f>
        <v>-0.13814351996816723</v>
      </c>
      <c r="P7" s="35">
        <f>+(P6-'Impo 2015'!P6)/'Impo 2015'!P6</f>
        <v>-0.45652753385094497</v>
      </c>
      <c r="R7" s="14"/>
    </row>
    <row r="8" spans="2:20" ht="18" customHeight="1" thickTop="1" thickBot="1">
      <c r="B8" s="260" t="s">
        <v>77</v>
      </c>
      <c r="C8" s="31" t="s">
        <v>65</v>
      </c>
      <c r="D8" s="34">
        <v>36.608289999999997</v>
      </c>
      <c r="E8" s="34">
        <v>35.553322999999999</v>
      </c>
      <c r="F8" s="34">
        <v>53.955437000000003</v>
      </c>
      <c r="G8" s="34">
        <v>43.533372999999997</v>
      </c>
      <c r="H8" s="34">
        <v>36.149490999999998</v>
      </c>
      <c r="I8" s="34">
        <v>45.036821000000003</v>
      </c>
      <c r="J8" s="34">
        <v>27.621949000000001</v>
      </c>
      <c r="K8" s="34">
        <v>32.124827000000003</v>
      </c>
      <c r="L8" s="34">
        <v>29.730139999999999</v>
      </c>
      <c r="M8" s="34">
        <v>31.344939</v>
      </c>
      <c r="N8" s="34">
        <v>31.314647000000001</v>
      </c>
      <c r="O8" s="34">
        <v>32.951867999999997</v>
      </c>
      <c r="P8" s="34">
        <f>+SUM(D8:O8)</f>
        <v>435.92510499999997</v>
      </c>
      <c r="R8" s="14"/>
    </row>
    <row r="9" spans="2:20" ht="18" customHeight="1" thickTop="1" thickBot="1">
      <c r="B9" s="260"/>
      <c r="C9" s="29" t="s">
        <v>59</v>
      </c>
      <c r="D9" s="34">
        <v>11.339262</v>
      </c>
      <c r="E9" s="34">
        <v>11.999684</v>
      </c>
      <c r="F9" s="34">
        <v>16.605170000000001</v>
      </c>
      <c r="G9" s="34">
        <v>16.353860000000001</v>
      </c>
      <c r="H9" s="34">
        <v>15.602712</v>
      </c>
      <c r="I9" s="34">
        <v>15.462910000000001</v>
      </c>
      <c r="J9" s="34">
        <v>10.368392999999999</v>
      </c>
      <c r="K9" s="34">
        <v>19.961034000000001</v>
      </c>
      <c r="L9" s="34">
        <v>15.518632</v>
      </c>
      <c r="M9" s="34">
        <v>13.411440000000001</v>
      </c>
      <c r="N9" s="34">
        <v>23.891168</v>
      </c>
      <c r="O9" s="34">
        <v>11.111663</v>
      </c>
      <c r="P9" s="34">
        <f>+SUM(D9:O9)</f>
        <v>181.62592799999999</v>
      </c>
      <c r="R9" s="14"/>
    </row>
    <row r="10" spans="2:20" ht="18" customHeight="1" thickTop="1" thickBot="1">
      <c r="B10" s="260"/>
      <c r="C10" s="29" t="s">
        <v>60</v>
      </c>
      <c r="D10" s="34">
        <v>0.86087899999999995</v>
      </c>
      <c r="E10" s="34">
        <v>1.2274119999999999</v>
      </c>
      <c r="F10" s="34">
        <v>2.4161419999999998</v>
      </c>
      <c r="G10" s="34">
        <v>1.05437</v>
      </c>
      <c r="H10" s="34">
        <v>1.144363</v>
      </c>
      <c r="I10" s="34">
        <v>0.14626600000000001</v>
      </c>
      <c r="J10" s="34">
        <v>0.193962</v>
      </c>
      <c r="K10" s="34">
        <v>0.49946699999999999</v>
      </c>
      <c r="L10" s="34">
        <v>0.647559</v>
      </c>
      <c r="M10" s="34">
        <v>0.102557</v>
      </c>
      <c r="N10" s="34">
        <v>0.481487</v>
      </c>
      <c r="O10" s="34">
        <v>0.19933999999999999</v>
      </c>
      <c r="P10" s="34">
        <f>+SUM(D10:O10)</f>
        <v>8.9738039999999977</v>
      </c>
      <c r="R10" s="14"/>
    </row>
    <row r="11" spans="2:20" ht="18" customHeight="1" thickTop="1" thickBot="1">
      <c r="B11" s="260"/>
      <c r="C11" s="29" t="s">
        <v>139</v>
      </c>
      <c r="D11" s="34">
        <f>+D8+D9+D10</f>
        <v>48.808430999999992</v>
      </c>
      <c r="E11" s="34">
        <f>+E8+E9+E10</f>
        <v>48.780419000000002</v>
      </c>
      <c r="F11" s="34">
        <f>+F8+F9+F10</f>
        <v>72.976748999999998</v>
      </c>
      <c r="G11" s="34">
        <f>+G8+G9+G10</f>
        <v>60.941602999999994</v>
      </c>
      <c r="H11" s="34">
        <f t="shared" ref="H11:N11" si="1">+H8+H9+H10</f>
        <v>52.896565999999993</v>
      </c>
      <c r="I11" s="34">
        <f t="shared" si="1"/>
        <v>60.645997000000001</v>
      </c>
      <c r="J11" s="34">
        <f t="shared" si="1"/>
        <v>38.184303999999997</v>
      </c>
      <c r="K11" s="34">
        <f t="shared" si="1"/>
        <v>52.585328000000011</v>
      </c>
      <c r="L11" s="34">
        <f t="shared" si="1"/>
        <v>45.896331000000004</v>
      </c>
      <c r="M11" s="34">
        <f t="shared" si="1"/>
        <v>44.858936</v>
      </c>
      <c r="N11" s="34">
        <f t="shared" si="1"/>
        <v>55.687302000000003</v>
      </c>
      <c r="O11" s="34">
        <f>+O8+O9+O10</f>
        <v>44.262870999999997</v>
      </c>
      <c r="P11" s="34">
        <f>+P8+P9+P10</f>
        <v>626.52483699999993</v>
      </c>
      <c r="R11" s="46">
        <f t="shared" ref="R11" si="2">+D11+E11+F11+G11+H11+I11+J11+K11+L11+M11+N11+O11</f>
        <v>626.52483700000005</v>
      </c>
    </row>
    <row r="12" spans="2:20" ht="18" customHeight="1" thickTop="1" thickBot="1">
      <c r="B12" s="260"/>
      <c r="C12" s="32" t="s">
        <v>81</v>
      </c>
      <c r="D12" s="35">
        <f>+(D11-'Impo 2015'!D11)/'Impo 2015'!D11</f>
        <v>-6.3836526724243822E-2</v>
      </c>
      <c r="E12" s="35">
        <f>+(E11-'Impo 2015'!E11)/'Impo 2015'!E11</f>
        <v>0.11275966197328104</v>
      </c>
      <c r="F12" s="35">
        <f>+(F11-'Impo 2015'!F11)/'Impo 2015'!F11</f>
        <v>0.36530551020129309</v>
      </c>
      <c r="G12" s="35">
        <f>+(G11-'Impo 2015'!G11)/'Impo 2015'!G11</f>
        <v>0.33154355659244833</v>
      </c>
      <c r="H12" s="35">
        <f>+(H11-'Impo 2015'!H11)/'Impo 2015'!H11</f>
        <v>8.7336077875328332E-3</v>
      </c>
      <c r="I12" s="35">
        <f>+(I11-'Impo 2015'!I11)/'Impo 2015'!I11</f>
        <v>0.47285692968662502</v>
      </c>
      <c r="J12" s="35">
        <f>+(J11-'Impo 2015'!J11)/'Impo 2015'!J11</f>
        <v>-0.31498654736159026</v>
      </c>
      <c r="K12" s="35">
        <f>+(K11-'Impo 2015'!K11)/'Impo 2015'!K11</f>
        <v>0.65583165019733725</v>
      </c>
      <c r="L12" s="35">
        <f>+(L11-'Impo 2015'!L11)/'Impo 2015'!L11</f>
        <v>-9.5994876652124486E-2</v>
      </c>
      <c r="M12" s="35">
        <f>+(M11-'Impo 2015'!M11)/'Impo 2015'!M11</f>
        <v>-0.20130131363731968</v>
      </c>
      <c r="N12" s="35">
        <f>+(N11-'Impo 2015'!N11)/'Impo 2015'!N11</f>
        <v>0.19145647730676765</v>
      </c>
      <c r="O12" s="35">
        <f>+(O11-'Impo 2015'!O11)/'Impo 2015'!O11</f>
        <v>-0.13590634949343733</v>
      </c>
      <c r="P12" s="35">
        <f>+(P11-'Impo 2015'!P11)/'Impo 2015'!P11</f>
        <v>7.7974933593081192E-2</v>
      </c>
      <c r="R12" s="14"/>
    </row>
    <row r="13" spans="2:20" ht="18" customHeight="1" thickTop="1" thickBot="1">
      <c r="B13" s="260" t="s">
        <v>42</v>
      </c>
      <c r="C13" s="31" t="s">
        <v>65</v>
      </c>
      <c r="D13" s="34">
        <v>40.436</v>
      </c>
      <c r="E13" s="34">
        <v>38.106999999999999</v>
      </c>
      <c r="F13" s="34">
        <v>61.305999999999997</v>
      </c>
      <c r="G13" s="34">
        <f>31.016+4.108</f>
        <v>35.123999999999995</v>
      </c>
      <c r="H13" s="34">
        <f>78.602+4.25</f>
        <v>82.852000000000004</v>
      </c>
      <c r="I13" s="34">
        <f>4.51+28.211</f>
        <v>32.720999999999997</v>
      </c>
      <c r="J13" s="34">
        <f>33.655+5.904</f>
        <v>39.558999999999997</v>
      </c>
      <c r="K13" s="34">
        <v>30.556000000000001</v>
      </c>
      <c r="L13" s="34">
        <v>51.119</v>
      </c>
      <c r="M13" s="34">
        <v>38.116999999999997</v>
      </c>
      <c r="N13" s="34">
        <v>61.234999999999999</v>
      </c>
      <c r="O13" s="34">
        <v>45</v>
      </c>
      <c r="P13" s="34">
        <f>+SUM(D13:O13)</f>
        <v>556.13200000000006</v>
      </c>
      <c r="R13" s="14"/>
    </row>
    <row r="14" spans="2:20" ht="18" customHeight="1" thickTop="1" thickBot="1">
      <c r="B14" s="260"/>
      <c r="C14" s="29" t="s">
        <v>59</v>
      </c>
      <c r="D14" s="34">
        <v>45.677999999999997</v>
      </c>
      <c r="E14" s="34">
        <v>33.020000000000003</v>
      </c>
      <c r="F14" s="34">
        <v>65.037999999999997</v>
      </c>
      <c r="G14" s="34">
        <v>58.831000000000003</v>
      </c>
      <c r="H14" s="34">
        <v>62.542000000000002</v>
      </c>
      <c r="I14" s="34">
        <v>37.636000000000003</v>
      </c>
      <c r="J14" s="34">
        <v>50.509</v>
      </c>
      <c r="K14" s="34">
        <v>59.158000000000001</v>
      </c>
      <c r="L14" s="34">
        <v>79.180999999999997</v>
      </c>
      <c r="M14" s="34">
        <v>154.48099999999999</v>
      </c>
      <c r="N14" s="34">
        <v>106.85599999999999</v>
      </c>
      <c r="O14" s="34">
        <v>89</v>
      </c>
      <c r="P14" s="34">
        <f>+SUM(D14:O14)</f>
        <v>841.93000000000006</v>
      </c>
      <c r="R14" s="14"/>
    </row>
    <row r="15" spans="2:20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+SUM(D15:O15)</f>
        <v>0</v>
      </c>
      <c r="R15" s="14"/>
    </row>
    <row r="16" spans="2:20" ht="18" customHeight="1" thickTop="1" thickBot="1">
      <c r="B16" s="260"/>
      <c r="C16" s="29" t="s">
        <v>139</v>
      </c>
      <c r="D16" s="52">
        <f t="shared" ref="D16:I16" si="3">+D13+D14+D15</f>
        <v>86.114000000000004</v>
      </c>
      <c r="E16" s="52">
        <f t="shared" si="3"/>
        <v>71.12700000000001</v>
      </c>
      <c r="F16" s="52">
        <f t="shared" si="3"/>
        <v>126.34399999999999</v>
      </c>
      <c r="G16" s="52">
        <f t="shared" si="3"/>
        <v>93.954999999999998</v>
      </c>
      <c r="H16" s="52">
        <f t="shared" si="3"/>
        <v>145.39400000000001</v>
      </c>
      <c r="I16" s="52">
        <f t="shared" si="3"/>
        <v>70.356999999999999</v>
      </c>
      <c r="J16" s="52">
        <f t="shared" ref="J16:P16" si="4">+J13+J14+J15</f>
        <v>90.067999999999998</v>
      </c>
      <c r="K16" s="52">
        <f t="shared" si="4"/>
        <v>89.713999999999999</v>
      </c>
      <c r="L16" s="52">
        <f t="shared" si="4"/>
        <v>130.30000000000001</v>
      </c>
      <c r="M16" s="52">
        <f t="shared" si="4"/>
        <v>192.59799999999998</v>
      </c>
      <c r="N16" s="52">
        <f t="shared" si="4"/>
        <v>168.09100000000001</v>
      </c>
      <c r="O16" s="52">
        <f t="shared" si="4"/>
        <v>134</v>
      </c>
      <c r="P16" s="34">
        <f t="shared" si="4"/>
        <v>1398.0620000000001</v>
      </c>
      <c r="R16" s="46">
        <f t="shared" ref="R16" si="5">+D16+E16+F16+G16+H16+I16+J16+K16+L16+M16+N16+O16</f>
        <v>1398.0619999999999</v>
      </c>
    </row>
    <row r="17" spans="2:19" ht="18" customHeight="1" thickTop="1" thickBot="1">
      <c r="B17" s="260"/>
      <c r="C17" s="32" t="s">
        <v>81</v>
      </c>
      <c r="D17" s="35">
        <f>+(D16-'Impo 2015'!D16)/'Impo 2015'!D16</f>
        <v>-0.75035368059743013</v>
      </c>
      <c r="E17" s="35">
        <f>+(E16-'Impo 2015'!E16)/'Impo 2015'!E16</f>
        <v>-0.7507927109136584</v>
      </c>
      <c r="F17" s="35">
        <f>+(F16-'Impo 2015'!F16)/'Impo 2015'!F16</f>
        <v>-0.52481533300236194</v>
      </c>
      <c r="G17" s="35">
        <f>+(G16-'Impo 2015'!G16)/'Impo 2015'!G16</f>
        <v>-0.76164261232897912</v>
      </c>
      <c r="H17" s="35">
        <f>+(H16-'Impo 2015'!H16)/'Impo 2015'!H16</f>
        <v>-0.47429583830494987</v>
      </c>
      <c r="I17" s="35">
        <f>+(I16-'Impo 2015'!I16)/'Impo 2015'!I16</f>
        <v>-0.76441023030919963</v>
      </c>
      <c r="J17" s="35">
        <f>+(J16-'Impo 2015'!J16)/'Impo 2015'!J16</f>
        <v>-0.62123996518038493</v>
      </c>
      <c r="K17" s="35">
        <f>+(K16-'Impo 2015'!K16)/'Impo 2015'!K16</f>
        <v>-0.47828564782507554</v>
      </c>
      <c r="L17" s="35">
        <f>+(L16-'Impo 2015'!L16)/'Impo 2015'!L16</f>
        <v>-0.21470070634748423</v>
      </c>
      <c r="M17" s="35">
        <f>+(M16-'Impo 2015'!M16)/'Impo 2015'!M16</f>
        <v>0.12321033877448653</v>
      </c>
      <c r="N17" s="35">
        <f>+(N16-'Impo 2015'!N16)/'Impo 2015'!N16</f>
        <v>0.47780102686735132</v>
      </c>
      <c r="O17" s="35">
        <f>+(O16-'Impo 2015'!O16)/'Impo 2015'!O16</f>
        <v>0.36568860261519176</v>
      </c>
      <c r="P17" s="35">
        <f>+(P16-'Impo 2015'!P16)/'Impo 2015'!P16</f>
        <v>-0.50504859902748833</v>
      </c>
      <c r="R17" s="14"/>
    </row>
    <row r="18" spans="2:19" ht="18" customHeight="1" thickTop="1" thickBot="1">
      <c r="B18" s="260" t="s">
        <v>1</v>
      </c>
      <c r="C18" s="31" t="s">
        <v>65</v>
      </c>
      <c r="D18" s="34">
        <v>64.193613769999999</v>
      </c>
      <c r="E18" s="34">
        <v>21.206833289999985</v>
      </c>
      <c r="F18" s="34">
        <v>33.894752270000005</v>
      </c>
      <c r="G18" s="34">
        <v>18.410042729999997</v>
      </c>
      <c r="H18" s="34">
        <v>41.930512449999966</v>
      </c>
      <c r="I18" s="34">
        <v>27.287851700000008</v>
      </c>
      <c r="J18" s="34">
        <v>31.124509049999997</v>
      </c>
      <c r="K18" s="34">
        <v>31.274665980000002</v>
      </c>
      <c r="L18" s="34">
        <v>30.752814100000009</v>
      </c>
      <c r="M18" s="34">
        <v>33.724225209999979</v>
      </c>
      <c r="N18" s="34">
        <v>41.07389987000002</v>
      </c>
      <c r="O18" s="34">
        <v>19.26705789</v>
      </c>
      <c r="P18" s="34">
        <f>+SUM(D18:O18)</f>
        <v>394.14077830999992</v>
      </c>
      <c r="R18" s="14"/>
    </row>
    <row r="19" spans="2:19" ht="18" customHeight="1" thickTop="1" thickBot="1">
      <c r="B19" s="260"/>
      <c r="C19" s="29" t="s">
        <v>59</v>
      </c>
      <c r="D19" s="34">
        <v>105.01274582000005</v>
      </c>
      <c r="E19" s="34">
        <v>102.13053203000001</v>
      </c>
      <c r="F19" s="34">
        <v>116.59518773999991</v>
      </c>
      <c r="G19" s="34">
        <v>68.641251819999994</v>
      </c>
      <c r="H19" s="34">
        <v>100.95405486999999</v>
      </c>
      <c r="I19" s="34">
        <v>98.038162969999988</v>
      </c>
      <c r="J19" s="34">
        <v>59.98476478999995</v>
      </c>
      <c r="K19" s="34">
        <v>120.36470827999997</v>
      </c>
      <c r="L19" s="34">
        <v>127.60469249000003</v>
      </c>
      <c r="M19" s="34">
        <v>80.938137790000042</v>
      </c>
      <c r="N19" s="34">
        <v>110.4022579</v>
      </c>
      <c r="O19" s="34">
        <v>98.915610950000016</v>
      </c>
      <c r="P19" s="34">
        <f>+SUM(D19:O19)</f>
        <v>1189.58210745</v>
      </c>
      <c r="R19" s="14"/>
    </row>
    <row r="20" spans="2:19" ht="18" customHeight="1" thickTop="1" thickBot="1">
      <c r="B20" s="260"/>
      <c r="C20" s="29" t="s">
        <v>60</v>
      </c>
      <c r="D20" s="34">
        <v>1.56552552</v>
      </c>
      <c r="E20" s="34">
        <v>1.8092223199999993</v>
      </c>
      <c r="F20" s="34">
        <v>2.0589391000000017</v>
      </c>
      <c r="G20" s="34">
        <v>1.1600331399999997</v>
      </c>
      <c r="H20" s="34">
        <v>1.7333701400000012</v>
      </c>
      <c r="I20" s="34">
        <v>1.1606264799999997</v>
      </c>
      <c r="J20" s="34">
        <v>3.2544658400000013</v>
      </c>
      <c r="K20" s="34">
        <v>1.0486023000000002</v>
      </c>
      <c r="L20" s="34">
        <v>1.6240729599999999</v>
      </c>
      <c r="M20" s="34">
        <v>2.2242539099999998</v>
      </c>
      <c r="N20" s="34">
        <v>1.1799266199999998</v>
      </c>
      <c r="O20" s="34">
        <v>1.4239380800000001</v>
      </c>
      <c r="P20" s="34">
        <f>+SUM(D20:O20)</f>
        <v>20.242976410000001</v>
      </c>
      <c r="R20" s="14"/>
    </row>
    <row r="21" spans="2:19" ht="18" customHeight="1" thickTop="1" thickBot="1">
      <c r="B21" s="260"/>
      <c r="C21" s="29" t="s">
        <v>139</v>
      </c>
      <c r="D21" s="52">
        <f>+D18+D19+D20</f>
        <v>170.77188511000003</v>
      </c>
      <c r="E21" s="52">
        <f>+E18+E19+E20</f>
        <v>125.14658764000001</v>
      </c>
      <c r="F21" s="52">
        <f>+F18+F19+F20</f>
        <v>152.54887910999992</v>
      </c>
      <c r="G21" s="52">
        <f>+G18+G19+G20</f>
        <v>88.21132768999999</v>
      </c>
      <c r="H21" s="52">
        <f>+H18+H19+H20</f>
        <v>144.61793745999998</v>
      </c>
      <c r="I21" s="52">
        <f t="shared" ref="I21:P21" si="6">+I18+I19+I20</f>
        <v>126.48664115</v>
      </c>
      <c r="J21" s="52">
        <f t="shared" si="6"/>
        <v>94.363739679999938</v>
      </c>
      <c r="K21" s="52">
        <f t="shared" si="6"/>
        <v>152.68797655999998</v>
      </c>
      <c r="L21" s="52">
        <f t="shared" si="6"/>
        <v>159.98157955000005</v>
      </c>
      <c r="M21" s="52">
        <f t="shared" si="6"/>
        <v>116.88661691000003</v>
      </c>
      <c r="N21" s="52">
        <f t="shared" si="6"/>
        <v>152.65608439000002</v>
      </c>
      <c r="O21" s="52">
        <f t="shared" si="6"/>
        <v>119.60660692000002</v>
      </c>
      <c r="P21" s="34">
        <f t="shared" si="6"/>
        <v>1603.9658621699998</v>
      </c>
      <c r="R21" s="46">
        <f t="shared" ref="R21" si="7">+D21+E21+F21+G21+H21+I21+J21+K21+L21+M21+N21+O21</f>
        <v>1603.96586217</v>
      </c>
      <c r="S21" s="67">
        <f>+D21+E21+R21</f>
        <v>1899.8843349200001</v>
      </c>
    </row>
    <row r="22" spans="2:19" ht="18" customHeight="1" thickTop="1" thickBot="1">
      <c r="B22" s="260"/>
      <c r="C22" s="32" t="s">
        <v>81</v>
      </c>
      <c r="D22" s="35">
        <f>+(D21-'Impo 2015'!D21)/'Impo 2015'!D21</f>
        <v>-3.9607601269912571E-2</v>
      </c>
      <c r="E22" s="35">
        <f>+(E21-'Impo 2015'!E21)/'Impo 2015'!E21</f>
        <v>0.15416109555061228</v>
      </c>
      <c r="F22" s="35">
        <f>+(F21-'Impo 2015'!F21)/'Impo 2015'!F21</f>
        <v>1.9693344362685033E-2</v>
      </c>
      <c r="G22" s="35">
        <f>+(G21-'Impo 2015'!G21)/'Impo 2015'!G21</f>
        <v>-0.50815126303835634</v>
      </c>
      <c r="H22" s="35">
        <f>+(H21-'Impo 2015'!H21)/'Impo 2015'!H21</f>
        <v>-8.1174477505439005E-2</v>
      </c>
      <c r="I22" s="35">
        <f>+(I21-'Impo 2015'!I21)/'Impo 2015'!I21</f>
        <v>0.19349001314111997</v>
      </c>
      <c r="J22" s="35">
        <f>+(J21-'Impo 2015'!J21)/'Impo 2015'!J21</f>
        <v>-0.67690943517296642</v>
      </c>
      <c r="K22" s="35">
        <f>+(K21-'Impo 2015'!K21)/'Impo 2015'!K21</f>
        <v>0.31289790169704718</v>
      </c>
      <c r="L22" s="35">
        <f>+(L21-'Impo 2015'!L21)/'Impo 2015'!L21</f>
        <v>2.6708485858696077E-2</v>
      </c>
      <c r="M22" s="35">
        <f>+(M21-'Impo 2015'!M21)/'Impo 2015'!M21</f>
        <v>-0.15870595804022361</v>
      </c>
      <c r="N22" s="35">
        <f>+(N21-'Impo 2015'!N21)/'Impo 2015'!N21</f>
        <v>9.5252188520167827E-2</v>
      </c>
      <c r="O22" s="35">
        <f>+(O21-'Impo 2015'!O21)/'Impo 2015'!O21</f>
        <v>-9.9124619362085956E-2</v>
      </c>
      <c r="P22" s="35">
        <f>+(P21-'Impo 2015'!P21)/'Impo 2015'!P21</f>
        <v>-0.13478607200638204</v>
      </c>
      <c r="R22" s="14"/>
    </row>
    <row r="23" spans="2:19" ht="18" customHeight="1" thickTop="1" thickBot="1">
      <c r="B23" s="260" t="s">
        <v>2</v>
      </c>
      <c r="C23" s="31" t="s">
        <v>65</v>
      </c>
      <c r="D23" s="34">
        <v>106.08764795000002</v>
      </c>
      <c r="E23" s="34">
        <v>101.48839901000002</v>
      </c>
      <c r="F23" s="34">
        <v>94.964674090000003</v>
      </c>
      <c r="G23" s="34">
        <v>76.13874521000001</v>
      </c>
      <c r="H23" s="34">
        <v>81.066505589999991</v>
      </c>
      <c r="I23" s="34">
        <v>95.541433529999978</v>
      </c>
      <c r="J23" s="34">
        <v>74.253392690000013</v>
      </c>
      <c r="K23" s="34">
        <v>67.545295580000001</v>
      </c>
      <c r="L23" s="34">
        <v>79.425205980000001</v>
      </c>
      <c r="M23" s="34">
        <v>57.841817829999989</v>
      </c>
      <c r="N23" s="34">
        <v>73.868320159999996</v>
      </c>
      <c r="O23" s="34">
        <v>100.80433961000001</v>
      </c>
      <c r="P23" s="34">
        <f>+SUM(D23:O23)</f>
        <v>1009.02577723</v>
      </c>
      <c r="R23" s="14"/>
    </row>
    <row r="24" spans="2:19" ht="18" customHeight="1" thickTop="1" thickBot="1">
      <c r="B24" s="260"/>
      <c r="C24" s="29" t="s">
        <v>59</v>
      </c>
      <c r="D24" s="34">
        <v>99.527278000000024</v>
      </c>
      <c r="E24" s="34">
        <v>128.29841746000002</v>
      </c>
      <c r="F24" s="34">
        <v>98.857887099999999</v>
      </c>
      <c r="G24" s="34">
        <v>101.69873699999999</v>
      </c>
      <c r="H24" s="34">
        <v>101.84112344000002</v>
      </c>
      <c r="I24" s="34">
        <v>114.39101812000001</v>
      </c>
      <c r="J24" s="34">
        <v>82.366666570000007</v>
      </c>
      <c r="K24" s="34">
        <v>132.60619070999999</v>
      </c>
      <c r="L24" s="34">
        <v>120.8602226</v>
      </c>
      <c r="M24" s="34">
        <v>112.03758012999998</v>
      </c>
      <c r="N24" s="34">
        <v>116.04782174999995</v>
      </c>
      <c r="O24" s="34">
        <v>104.15180042</v>
      </c>
      <c r="P24" s="34">
        <f>+SUM(D24:O24)</f>
        <v>1312.6847433</v>
      </c>
      <c r="R24" s="14"/>
    </row>
    <row r="25" spans="2:19" ht="18" customHeight="1" thickTop="1" thickBot="1">
      <c r="B25" s="260"/>
      <c r="C25" s="29" t="s">
        <v>60</v>
      </c>
      <c r="D25" s="52">
        <v>10.052935369999998</v>
      </c>
      <c r="E25" s="52">
        <v>5.3301831000000011</v>
      </c>
      <c r="F25" s="52">
        <v>4.1060211800000008</v>
      </c>
      <c r="G25" s="52">
        <v>2.2413042999999999</v>
      </c>
      <c r="H25" s="52">
        <v>5.6974966600000014</v>
      </c>
      <c r="I25" s="52">
        <v>3.0098559499999973</v>
      </c>
      <c r="J25" s="52">
        <v>4.5671977899999989</v>
      </c>
      <c r="K25" s="52">
        <v>5.1993933200000013</v>
      </c>
      <c r="L25" s="52">
        <v>3.8830240899999984</v>
      </c>
      <c r="M25" s="52">
        <v>5.74931064</v>
      </c>
      <c r="N25" s="52">
        <v>9.3223781200000015</v>
      </c>
      <c r="O25" s="52">
        <v>10.695801690000001</v>
      </c>
      <c r="P25" s="34">
        <f>+SUM(D25:O25)</f>
        <v>69.854902209999992</v>
      </c>
      <c r="R25" s="14"/>
    </row>
    <row r="26" spans="2:19" ht="18" customHeight="1" thickTop="1" thickBot="1">
      <c r="B26" s="260"/>
      <c r="C26" s="29" t="s">
        <v>139</v>
      </c>
      <c r="D26" s="52">
        <f>+D23+D24+D25</f>
        <v>215.66786132000004</v>
      </c>
      <c r="E26" s="52">
        <f>+E23+E24+E25</f>
        <v>235.11699957000005</v>
      </c>
      <c r="F26" s="52">
        <f>+F23+F24+F25</f>
        <v>197.92858236999999</v>
      </c>
      <c r="G26" s="52">
        <f>+G23+G24+G25</f>
        <v>180.07878651000001</v>
      </c>
      <c r="H26" s="52">
        <f>+H23+H24+H25</f>
        <v>188.60512569000002</v>
      </c>
      <c r="I26" s="52">
        <f t="shared" ref="I26:O26" si="8">+I23+I24+I25</f>
        <v>212.94230759999999</v>
      </c>
      <c r="J26" s="52">
        <f t="shared" si="8"/>
        <v>161.18725705</v>
      </c>
      <c r="K26" s="52">
        <f t="shared" si="8"/>
        <v>205.35087960999999</v>
      </c>
      <c r="L26" s="52">
        <f t="shared" si="8"/>
        <v>204.16845266999999</v>
      </c>
      <c r="M26" s="52">
        <f t="shared" si="8"/>
        <v>175.62870859999998</v>
      </c>
      <c r="N26" s="52">
        <f t="shared" si="8"/>
        <v>199.23852002999996</v>
      </c>
      <c r="O26" s="52">
        <f t="shared" si="8"/>
        <v>215.65194172000002</v>
      </c>
      <c r="P26" s="34">
        <f>+P23+P24+P25</f>
        <v>2391.56542274</v>
      </c>
      <c r="R26" s="46">
        <f t="shared" ref="R26" si="9">+D26+E26+F26+G26+H26+I26+J26+K26+L26+M26+N26+O26</f>
        <v>2391.56542274</v>
      </c>
      <c r="S26" s="61">
        <f>+R26+E26+D26</f>
        <v>2842.3502836300004</v>
      </c>
    </row>
    <row r="27" spans="2:19" ht="18" customHeight="1" thickTop="1" thickBot="1">
      <c r="B27" s="260"/>
      <c r="C27" s="32" t="s">
        <v>81</v>
      </c>
      <c r="D27" s="35">
        <f>+(D26-'Impo 2015'!D26)/'Impo 2015'!D26</f>
        <v>-9.4351617209275124E-2</v>
      </c>
      <c r="E27" s="35">
        <f>+(E26-'Impo 2015'!E26)/'Impo 2015'!E26</f>
        <v>0.16312715947699064</v>
      </c>
      <c r="F27" s="35">
        <f>+(F26-'Impo 2015'!F26)/'Impo 2015'!F26</f>
        <v>0.15745827130373974</v>
      </c>
      <c r="G27" s="35">
        <f>+(G26-'Impo 2015'!G26)/'Impo 2015'!G26</f>
        <v>-2.7753713345746254E-2</v>
      </c>
      <c r="H27" s="35">
        <f>+(H26-'Impo 2015'!H26)/'Impo 2015'!H26</f>
        <v>-8.4416818071161373E-2</v>
      </c>
      <c r="I27" s="35">
        <f>+(I26-'Impo 2015'!I26)/'Impo 2015'!I26</f>
        <v>-4.843348762123597E-2</v>
      </c>
      <c r="J27" s="35">
        <f>+(J26-'Impo 2015'!J26)/'Impo 2015'!J26</f>
        <v>-0.33429807540619305</v>
      </c>
      <c r="K27" s="35">
        <f>+(K26-'Impo 2015'!K26)/'Impo 2015'!K26</f>
        <v>-6.8182675266721227E-2</v>
      </c>
      <c r="L27" s="35">
        <f>+(L26-'Impo 2015'!L26)/'Impo 2015'!L26</f>
        <v>-0.18471887054673936</v>
      </c>
      <c r="M27" s="35">
        <f>+(M26-'Impo 2015'!M26)/'Impo 2015'!M26</f>
        <v>-0.51364223573024015</v>
      </c>
      <c r="N27" s="35">
        <f>+(N26-'Impo 2015'!N26)/'Impo 2015'!N26</f>
        <v>4.3047444443344907E-2</v>
      </c>
      <c r="O27" s="35">
        <f>+(O26-'Impo 2015'!O26)/'Impo 2015'!O26</f>
        <v>0.27003874012314949</v>
      </c>
      <c r="P27" s="35">
        <f>+(P26-'Impo 2015'!P26)/'Impo 2015'!P26</f>
        <v>-0.10129920892313223</v>
      </c>
      <c r="R27" s="14"/>
    </row>
    <row r="28" spans="2:19" s="3" customFormat="1" ht="18" customHeight="1" thickTop="1" thickBot="1">
      <c r="B28" s="260" t="s">
        <v>5</v>
      </c>
      <c r="C28" s="31" t="s">
        <v>65</v>
      </c>
      <c r="D28" s="34">
        <v>11.149832999999999</v>
      </c>
      <c r="E28" s="34">
        <v>8.4497859999999996</v>
      </c>
      <c r="F28" s="34">
        <v>9.7812389999999994</v>
      </c>
      <c r="G28" s="34">
        <v>8.5642359999999993</v>
      </c>
      <c r="H28" s="34">
        <v>16.529677</v>
      </c>
      <c r="I28" s="34">
        <v>10.674882</v>
      </c>
      <c r="J28" s="34">
        <v>19.650369000000001</v>
      </c>
      <c r="K28" s="34">
        <v>13.674726</v>
      </c>
      <c r="L28" s="34">
        <v>9.1668599999999998</v>
      </c>
      <c r="M28" s="34">
        <v>15.096458</v>
      </c>
      <c r="N28" s="34">
        <v>19.431405000000002</v>
      </c>
      <c r="O28" s="34">
        <v>19.784589</v>
      </c>
      <c r="P28" s="34">
        <f>+SUM(D28:O28)</f>
        <v>161.95406000000003</v>
      </c>
      <c r="R28" s="14"/>
    </row>
    <row r="29" spans="2:19" s="3" customFormat="1" ht="18" customHeight="1" thickTop="1" thickBot="1">
      <c r="B29" s="260"/>
      <c r="C29" s="29" t="s">
        <v>59</v>
      </c>
      <c r="D29" s="34">
        <v>25.009162</v>
      </c>
      <c r="E29" s="34">
        <v>33.707169</v>
      </c>
      <c r="F29" s="34">
        <v>44.371991999999999</v>
      </c>
      <c r="G29" s="34">
        <v>15.172701999999999</v>
      </c>
      <c r="H29" s="34">
        <v>25.534462000000001</v>
      </c>
      <c r="I29" s="34">
        <v>28.658923000000001</v>
      </c>
      <c r="J29" s="34">
        <v>31.277517</v>
      </c>
      <c r="K29" s="34">
        <v>25.124677999999999</v>
      </c>
      <c r="L29" s="34">
        <v>48.036529000000002</v>
      </c>
      <c r="M29" s="34">
        <v>24.181194999999999</v>
      </c>
      <c r="N29" s="34">
        <v>31.732997000000001</v>
      </c>
      <c r="O29" s="34">
        <v>37.755780000000001</v>
      </c>
      <c r="P29" s="34">
        <f>+SUM(D29:O29)</f>
        <v>370.563106</v>
      </c>
      <c r="R29" s="14"/>
    </row>
    <row r="30" spans="2:19" s="3" customFormat="1" ht="18" customHeight="1" thickTop="1" thickBot="1">
      <c r="B30" s="260"/>
      <c r="C30" s="29" t="s">
        <v>60</v>
      </c>
      <c r="D30" s="52">
        <v>0.29413699999999998</v>
      </c>
      <c r="E30" s="52">
        <v>0.22923299999999999</v>
      </c>
      <c r="F30" s="52">
        <v>0.41256900000000002</v>
      </c>
      <c r="G30" s="52">
        <v>0.30558800000000003</v>
      </c>
      <c r="H30" s="52">
        <v>0.34407199999999999</v>
      </c>
      <c r="I30" s="52">
        <v>0.42212</v>
      </c>
      <c r="J30" s="52">
        <v>0.36042600000000002</v>
      </c>
      <c r="K30" s="52">
        <v>0.45755600000000002</v>
      </c>
      <c r="L30" s="52">
        <v>0.10895299999999999</v>
      </c>
      <c r="M30" s="52">
        <v>0.26250600000000002</v>
      </c>
      <c r="N30" s="52">
        <v>0.177451</v>
      </c>
      <c r="O30" s="52">
        <v>0.185557</v>
      </c>
      <c r="P30" s="34">
        <f>+SUM(D30:O30)</f>
        <v>3.560168</v>
      </c>
      <c r="R30" s="14"/>
    </row>
    <row r="31" spans="2:19" s="3" customFormat="1" ht="18" customHeight="1" thickTop="1" thickBot="1">
      <c r="B31" s="260"/>
      <c r="C31" s="29" t="s">
        <v>139</v>
      </c>
      <c r="D31" s="52">
        <f t="shared" ref="D31:I31" si="10">+D28+D29+D30</f>
        <v>36.453131999999997</v>
      </c>
      <c r="E31" s="52">
        <f t="shared" si="10"/>
        <v>42.386187999999997</v>
      </c>
      <c r="F31" s="52">
        <f t="shared" si="10"/>
        <v>54.565799999999996</v>
      </c>
      <c r="G31" s="52">
        <f t="shared" si="10"/>
        <v>24.042525999999999</v>
      </c>
      <c r="H31" s="52">
        <f t="shared" si="10"/>
        <v>42.408210999999994</v>
      </c>
      <c r="I31" s="52">
        <f t="shared" si="10"/>
        <v>39.755924999999998</v>
      </c>
      <c r="J31" s="52">
        <f t="shared" ref="J31:P31" si="11">+J28+J29+J30</f>
        <v>51.288311999999998</v>
      </c>
      <c r="K31" s="52">
        <f t="shared" si="11"/>
        <v>39.256959999999992</v>
      </c>
      <c r="L31" s="52">
        <f t="shared" si="11"/>
        <v>57.312342000000001</v>
      </c>
      <c r="M31" s="52">
        <f t="shared" si="11"/>
        <v>39.540159000000003</v>
      </c>
      <c r="N31" s="52">
        <f t="shared" si="11"/>
        <v>51.341853</v>
      </c>
      <c r="O31" s="52">
        <f t="shared" si="11"/>
        <v>57.725926000000001</v>
      </c>
      <c r="P31" s="34">
        <f t="shared" si="11"/>
        <v>536.07733400000006</v>
      </c>
      <c r="R31" s="46">
        <f t="shared" ref="R31" si="12">+D31+E31+F31+G31+H31+I31+J31+K31+L31+M31+N31+O31</f>
        <v>536.07733399999995</v>
      </c>
      <c r="S31" s="61">
        <f>+R31+E31+D31</f>
        <v>614.91665399999988</v>
      </c>
    </row>
    <row r="32" spans="2:19" s="3" customFormat="1" ht="18" customHeight="1" thickTop="1" thickBot="1">
      <c r="B32" s="260"/>
      <c r="C32" s="32" t="s">
        <v>81</v>
      </c>
      <c r="D32" s="35">
        <f>+(D31-'Impo 2015'!D31)/'Impo 2015'!D31</f>
        <v>-0.23193142767276187</v>
      </c>
      <c r="E32" s="35">
        <f>+(E31-'Impo 2015'!E31)/'Impo 2015'!E31</f>
        <v>1.4437371490649952E-2</v>
      </c>
      <c r="F32" s="35">
        <f>+(F31-'Impo 2015'!F31)/'Impo 2015'!F31</f>
        <v>1.1826129945487548E-3</v>
      </c>
      <c r="G32" s="35">
        <f>+(G31-'Impo 2015'!G31)/'Impo 2015'!G31</f>
        <v>-0.47845460730217876</v>
      </c>
      <c r="H32" s="35">
        <f>+(H31-'Impo 2015'!H31)/'Impo 2015'!H31</f>
        <v>1.7833917730492921E-2</v>
      </c>
      <c r="I32" s="35">
        <f>+(I31-'Impo 2015'!I31)/'Impo 2015'!I31</f>
        <v>0.30217014026785988</v>
      </c>
      <c r="J32" s="35">
        <f>+(J31-'Impo 2015'!J31)/'Impo 2015'!J31</f>
        <v>0.8281588864581152</v>
      </c>
      <c r="K32" s="35">
        <f>+(K31-'Impo 2015'!K31)/'Impo 2015'!K31</f>
        <v>0.50037806645836558</v>
      </c>
      <c r="L32" s="35">
        <f>+(L31-'Impo 2015'!L31)/'Impo 2015'!L31</f>
        <v>0.33887192350328799</v>
      </c>
      <c r="M32" s="35">
        <f>+(M31-'Impo 2015'!M31)/'Impo 2015'!M31</f>
        <v>0.10242253170846091</v>
      </c>
      <c r="N32" s="35">
        <f>+(N31-'Impo 2015'!N31)/'Impo 2015'!N31</f>
        <v>0.99974865772592403</v>
      </c>
      <c r="O32" s="35">
        <f>+(O31-'Impo 2015'!O31)/'Impo 2015'!O31</f>
        <v>-1.1620062539261601E-2</v>
      </c>
      <c r="P32" s="35">
        <f>+(P31-'Impo 2015'!P31)/'Impo 2015'!P31</f>
        <v>0.11913481263157354</v>
      </c>
      <c r="R32" s="14"/>
    </row>
    <row r="33" spans="2:18" s="3" customFormat="1" ht="18" customHeight="1" thickTop="1" thickBot="1">
      <c r="B33" s="260" t="s">
        <v>4</v>
      </c>
      <c r="C33" s="31" t="s">
        <v>65</v>
      </c>
      <c r="D33" s="34">
        <v>20.869825930000008</v>
      </c>
      <c r="E33" s="34">
        <v>10.376980939999999</v>
      </c>
      <c r="F33" s="34">
        <v>15.247436839999992</v>
      </c>
      <c r="G33" s="34">
        <v>5.938682889999999</v>
      </c>
      <c r="H33" s="34">
        <v>14.533873400000001</v>
      </c>
      <c r="I33" s="34">
        <v>14.30441695</v>
      </c>
      <c r="J33" s="34">
        <v>15.010683070000004</v>
      </c>
      <c r="K33" s="34">
        <v>20.817053279999996</v>
      </c>
      <c r="L33" s="34">
        <v>28.47134527</v>
      </c>
      <c r="M33" s="34">
        <v>32.255689189999984</v>
      </c>
      <c r="N33" s="34">
        <v>11.467863799999998</v>
      </c>
      <c r="O33" s="34">
        <v>17.799039570000009</v>
      </c>
      <c r="P33" s="34">
        <f>+SUM(D33:O33)</f>
        <v>207.09289113</v>
      </c>
      <c r="R33" s="14"/>
    </row>
    <row r="34" spans="2:18" s="3" customFormat="1" ht="18" customHeight="1" thickTop="1" thickBot="1">
      <c r="B34" s="260"/>
      <c r="C34" s="29" t="s">
        <v>59</v>
      </c>
      <c r="D34" s="34">
        <v>53.873254300000021</v>
      </c>
      <c r="E34" s="34">
        <v>60.059624929999984</v>
      </c>
      <c r="F34" s="34">
        <v>57.924479850000012</v>
      </c>
      <c r="G34" s="34">
        <v>45.361834749999986</v>
      </c>
      <c r="H34" s="34">
        <v>54.583504729999973</v>
      </c>
      <c r="I34" s="34">
        <v>32.814284879999981</v>
      </c>
      <c r="J34" s="34">
        <v>29.154734859999976</v>
      </c>
      <c r="K34" s="34">
        <v>45.675030830000019</v>
      </c>
      <c r="L34" s="34">
        <v>52.672200240000002</v>
      </c>
      <c r="M34" s="34">
        <v>48.11282615999999</v>
      </c>
      <c r="N34" s="34">
        <v>68.903561739999986</v>
      </c>
      <c r="O34" s="34">
        <v>59.139072710000022</v>
      </c>
      <c r="P34" s="34">
        <f>+SUM(D34:O34)</f>
        <v>608.27440997999997</v>
      </c>
      <c r="R34" s="14"/>
    </row>
    <row r="35" spans="2:18" s="3" customFormat="1" ht="18" customHeight="1" thickTop="1" thickBot="1">
      <c r="B35" s="260"/>
      <c r="C35" s="29" t="s">
        <v>60</v>
      </c>
      <c r="D35" s="34">
        <v>3.4693956299999993</v>
      </c>
      <c r="E35" s="34">
        <v>12.044243629999995</v>
      </c>
      <c r="F35" s="34">
        <v>3.5324787200000003</v>
      </c>
      <c r="G35" s="34">
        <v>2.8244248400000003</v>
      </c>
      <c r="H35" s="34">
        <v>6.0526142199999988</v>
      </c>
      <c r="I35" s="34">
        <v>0.93009274999999991</v>
      </c>
      <c r="J35" s="34">
        <v>5.6469875200000033</v>
      </c>
      <c r="K35" s="34">
        <v>3.6953513900000021</v>
      </c>
      <c r="L35" s="34">
        <v>10.3278117</v>
      </c>
      <c r="M35" s="34">
        <v>8.2347855100000036</v>
      </c>
      <c r="N35" s="34">
        <v>1.6075453999999991</v>
      </c>
      <c r="O35" s="34">
        <v>5.8444084900000055</v>
      </c>
      <c r="P35" s="34">
        <f>+SUM(D35:O35)</f>
        <v>64.210139799999993</v>
      </c>
      <c r="R35" s="14"/>
    </row>
    <row r="36" spans="2:18" s="3" customFormat="1" ht="18" customHeight="1" thickTop="1" thickBot="1">
      <c r="B36" s="260"/>
      <c r="C36" s="29" t="s">
        <v>139</v>
      </c>
      <c r="D36" s="52">
        <f t="shared" ref="D36:I36" si="13">+D33+D34+D35</f>
        <v>78.212475860000026</v>
      </c>
      <c r="E36" s="52">
        <f t="shared" si="13"/>
        <v>82.480849499999977</v>
      </c>
      <c r="F36" s="52">
        <f t="shared" si="13"/>
        <v>76.704395410000004</v>
      </c>
      <c r="G36" s="52">
        <f t="shared" si="13"/>
        <v>54.12494247999998</v>
      </c>
      <c r="H36" s="52">
        <f t="shared" si="13"/>
        <v>75.169992349999973</v>
      </c>
      <c r="I36" s="52">
        <f t="shared" si="13"/>
        <v>48.048794579999978</v>
      </c>
      <c r="J36" s="52">
        <f t="shared" ref="J36:O36" si="14">+J33+J34+J35</f>
        <v>49.812405449999986</v>
      </c>
      <c r="K36" s="52">
        <f t="shared" si="14"/>
        <v>70.187435500000007</v>
      </c>
      <c r="L36" s="52">
        <f t="shared" si="14"/>
        <v>91.471357209999994</v>
      </c>
      <c r="M36" s="52">
        <f t="shared" si="14"/>
        <v>88.603300859999976</v>
      </c>
      <c r="N36" s="52">
        <f t="shared" si="14"/>
        <v>81.978970939999982</v>
      </c>
      <c r="O36" s="52">
        <f t="shared" si="14"/>
        <v>82.782520770000033</v>
      </c>
      <c r="P36" s="34">
        <f>+P33+P34+P35</f>
        <v>879.57744090999995</v>
      </c>
      <c r="R36" s="46">
        <f t="shared" ref="R36" si="15">+D36+E36+F36+G36+H36+I36+J36+K36+L36+M36+N36+O36</f>
        <v>879.57744090999984</v>
      </c>
    </row>
    <row r="37" spans="2:18" s="3" customFormat="1" ht="18" customHeight="1" thickTop="1" thickBot="1">
      <c r="B37" s="260"/>
      <c r="C37" s="32" t="s">
        <v>81</v>
      </c>
      <c r="D37" s="35">
        <f>+(D36-'Impo 2015'!D36)/'Impo 2015'!D36</f>
        <v>-9.3490654612014695E-2</v>
      </c>
      <c r="E37" s="35">
        <f>+(E36-'Impo 2015'!E36)/'Impo 2015'!E36</f>
        <v>5.5949056447842677E-2</v>
      </c>
      <c r="F37" s="35">
        <f>+(F36-'Impo 2015'!F36)/'Impo 2015'!F36</f>
        <v>-0.34260230352919452</v>
      </c>
      <c r="G37" s="35">
        <f>+(G36-'Impo 2015'!G36)/'Impo 2015'!G36</f>
        <v>-0.2670197261633635</v>
      </c>
      <c r="H37" s="35">
        <f>+(H36-'Impo 2015'!H36)/'Impo 2015'!H36</f>
        <v>-0.30309385417344525</v>
      </c>
      <c r="I37" s="35">
        <f>+(I36-'Impo 2015'!I36)/'Impo 2015'!I36</f>
        <v>-0.13964163318913111</v>
      </c>
      <c r="J37" s="35">
        <f>+(J36-'Impo 2015'!J36)/'Impo 2015'!J36</f>
        <v>-0.42108163082685551</v>
      </c>
      <c r="K37" s="35">
        <f>+(K36-'Impo 2015'!K36)/'Impo 2015'!K36</f>
        <v>1.1763909978344991E-2</v>
      </c>
      <c r="L37" s="35">
        <f>+(L36-'Impo 2015'!L36)/'Impo 2015'!L36</f>
        <v>0.35233530935099422</v>
      </c>
      <c r="M37" s="35">
        <f>+(M36-'Impo 2015'!M36)/'Impo 2015'!M36</f>
        <v>0.35165274826210785</v>
      </c>
      <c r="N37" s="35">
        <f>+(N36-'Impo 2015'!N36)/'Impo 2015'!N36</f>
        <v>9.1551131458404919E-2</v>
      </c>
      <c r="O37" s="35">
        <f>+(O36-'Impo 2015'!O36)/'Impo 2015'!O36</f>
        <v>0.25334686804384604</v>
      </c>
      <c r="P37" s="35">
        <f>+(P36-'Impo 2015'!P36)/'Impo 2015'!P36</f>
        <v>-7.2546824592222892E-2</v>
      </c>
      <c r="R37" s="14"/>
    </row>
    <row r="38" spans="2:18" s="3" customFormat="1" ht="18" customHeight="1" thickTop="1" thickBot="1">
      <c r="B38" s="260" t="s">
        <v>10</v>
      </c>
      <c r="C38" s="31" t="s">
        <v>65</v>
      </c>
      <c r="D38" s="34">
        <v>10.806773719999999</v>
      </c>
      <c r="E38" s="34">
        <v>10.420253150000001</v>
      </c>
      <c r="F38" s="34">
        <v>10.863504689999997</v>
      </c>
      <c r="G38" s="34">
        <v>10.303165470000003</v>
      </c>
      <c r="H38" s="34">
        <v>11.300044339999999</v>
      </c>
      <c r="I38" s="34">
        <v>11.692753639999999</v>
      </c>
      <c r="J38" s="34">
        <v>21.443938750000004</v>
      </c>
      <c r="K38" s="34">
        <v>16.975710060000004</v>
      </c>
      <c r="L38" s="34">
        <v>6.3036433199999999</v>
      </c>
      <c r="M38" s="34">
        <v>9.1363736299999978</v>
      </c>
      <c r="N38" s="34">
        <v>16.246343109999998</v>
      </c>
      <c r="O38" s="34">
        <v>10.360885550000003</v>
      </c>
      <c r="P38" s="34">
        <f>+SUM(D38:O38)</f>
        <v>145.85338943000002</v>
      </c>
      <c r="R38" s="14"/>
    </row>
    <row r="39" spans="2:18" s="3" customFormat="1" ht="18" customHeight="1" thickTop="1" thickBot="1">
      <c r="B39" s="260"/>
      <c r="C39" s="29" t="s">
        <v>59</v>
      </c>
      <c r="D39" s="34">
        <v>18.38431339000001</v>
      </c>
      <c r="E39" s="34">
        <v>21.263488970000001</v>
      </c>
      <c r="F39" s="34">
        <v>13.152123459999999</v>
      </c>
      <c r="G39" s="34">
        <v>18.665203340000005</v>
      </c>
      <c r="H39" s="34">
        <v>16.425215250000001</v>
      </c>
      <c r="I39" s="34">
        <v>26.602832820000003</v>
      </c>
      <c r="J39" s="34">
        <v>9.1850004199999979</v>
      </c>
      <c r="K39" s="34">
        <v>20.374606909999997</v>
      </c>
      <c r="L39" s="34">
        <v>10.635868350000004</v>
      </c>
      <c r="M39" s="34">
        <v>28.245017579999999</v>
      </c>
      <c r="N39" s="34">
        <v>19.940170459999997</v>
      </c>
      <c r="O39" s="34">
        <v>19.059288619999997</v>
      </c>
      <c r="P39" s="34">
        <f>+SUM(D39:O39)</f>
        <v>221.93312957000001</v>
      </c>
      <c r="R39" s="14"/>
    </row>
    <row r="40" spans="2:18" s="3" customFormat="1" ht="18" customHeight="1" thickTop="1" thickBot="1">
      <c r="B40" s="260"/>
      <c r="C40" s="29" t="s">
        <v>60</v>
      </c>
      <c r="D40" s="52">
        <v>0.16358765</v>
      </c>
      <c r="E40" s="52">
        <v>0.15390727000000001</v>
      </c>
      <c r="F40" s="52">
        <v>0.21163438999999995</v>
      </c>
      <c r="G40" s="52">
        <v>0.21189281999999998</v>
      </c>
      <c r="H40" s="52">
        <v>0.16136257000000001</v>
      </c>
      <c r="I40" s="52">
        <v>0.29644702000000001</v>
      </c>
      <c r="J40" s="52">
        <v>0.21674349000000001</v>
      </c>
      <c r="K40" s="52">
        <v>0.40992105000000006</v>
      </c>
      <c r="L40" s="52">
        <v>0.13658916999999998</v>
      </c>
      <c r="M40" s="52">
        <v>0.34028593000000007</v>
      </c>
      <c r="N40" s="52">
        <v>0.21340211000000003</v>
      </c>
      <c r="O40" s="52">
        <v>0.16498181000000001</v>
      </c>
      <c r="P40" s="34">
        <f>+SUM(D40:O40)</f>
        <v>2.6807552800000001</v>
      </c>
      <c r="R40" s="14"/>
    </row>
    <row r="41" spans="2:18" s="3" customFormat="1" ht="18" customHeight="1" thickTop="1" thickBot="1">
      <c r="B41" s="260"/>
      <c r="C41" s="29" t="s">
        <v>139</v>
      </c>
      <c r="D41" s="52">
        <f t="shared" ref="D41:I41" si="16">+D38+D39+D40</f>
        <v>29.354674760000009</v>
      </c>
      <c r="E41" s="52">
        <f t="shared" si="16"/>
        <v>31.837649390000003</v>
      </c>
      <c r="F41" s="52">
        <f t="shared" si="16"/>
        <v>24.227262539999998</v>
      </c>
      <c r="G41" s="52">
        <f t="shared" si="16"/>
        <v>29.180261630000008</v>
      </c>
      <c r="H41" s="52">
        <f t="shared" si="16"/>
        <v>27.886622160000002</v>
      </c>
      <c r="I41" s="52">
        <f t="shared" si="16"/>
        <v>38.592033480000005</v>
      </c>
      <c r="J41" s="52">
        <f t="shared" ref="J41:P41" si="17">+J38+J39+J40</f>
        <v>30.845682660000001</v>
      </c>
      <c r="K41" s="52">
        <f t="shared" si="17"/>
        <v>37.760238020000003</v>
      </c>
      <c r="L41" s="52">
        <f t="shared" si="17"/>
        <v>17.076100840000006</v>
      </c>
      <c r="M41" s="52">
        <f t="shared" si="17"/>
        <v>37.721677139999997</v>
      </c>
      <c r="N41" s="52">
        <f t="shared" si="17"/>
        <v>36.399915679999992</v>
      </c>
      <c r="O41" s="52">
        <f t="shared" si="17"/>
        <v>29.58515598</v>
      </c>
      <c r="P41" s="34">
        <f t="shared" si="17"/>
        <v>370.46727428000003</v>
      </c>
      <c r="R41" s="46">
        <f t="shared" ref="R41" si="18">+D41+E41+F41+G41+H41+I41+J41+K41+L41+M41+N41+O41</f>
        <v>370.46727428000003</v>
      </c>
    </row>
    <row r="42" spans="2:18" s="3" customFormat="1" ht="18" customHeight="1" thickTop="1" thickBot="1">
      <c r="B42" s="260"/>
      <c r="C42" s="32" t="s">
        <v>81</v>
      </c>
      <c r="D42" s="35">
        <f>+(D41-'Impo 2015'!D41)/'Impo 2015'!D41</f>
        <v>5.3513643469205709E-2</v>
      </c>
      <c r="E42" s="35">
        <f>+(E41-'Impo 2015'!E41)/'Impo 2015'!E41</f>
        <v>-0.22608921383588645</v>
      </c>
      <c r="F42" s="35">
        <f>+(F41-'Impo 2015'!F41)/'Impo 2015'!F41</f>
        <v>-0.18005812322795209</v>
      </c>
      <c r="G42" s="35">
        <f>+(G41-'Impo 2015'!G41)/'Impo 2015'!G41</f>
        <v>-0.11583750090887533</v>
      </c>
      <c r="H42" s="35">
        <f>+(H41-'Impo 2015'!H41)/'Impo 2015'!H41</f>
        <v>-1.9529720057284143E-2</v>
      </c>
      <c r="I42" s="35">
        <f>+(I41-'Impo 2015'!I41)/'Impo 2015'!I41</f>
        <v>-1.4889811689535324E-2</v>
      </c>
      <c r="J42" s="35">
        <f>+(J41-'Impo 2015'!J41)/'Impo 2015'!J41</f>
        <v>0.30542824962252396</v>
      </c>
      <c r="K42" s="35">
        <f>+(K41-'Impo 2015'!K41)/'Impo 2015'!K41</f>
        <v>0.30840822256216416</v>
      </c>
      <c r="L42" s="35">
        <f>+(L41-'Impo 2015'!L41)/'Impo 2015'!L41</f>
        <v>-0.55722401759153395</v>
      </c>
      <c r="M42" s="35">
        <f>+(M41-'Impo 2015'!M41)/'Impo 2015'!M41</f>
        <v>0.18364737375807547</v>
      </c>
      <c r="N42" s="35">
        <f>+(N41-'Impo 2015'!N41)/'Impo 2015'!N41</f>
        <v>0.75027655671836446</v>
      </c>
      <c r="O42" s="35">
        <f>+(O41-'Impo 2015'!O41)/'Impo 2015'!O41</f>
        <v>3.5466095469643286E-2</v>
      </c>
      <c r="P42" s="35">
        <f>+(P41-'Impo 2015'!P41)/'Impo 2015'!P41</f>
        <v>-2.6791316413359639E-3</v>
      </c>
      <c r="R42" s="14"/>
    </row>
    <row r="43" spans="2:18" s="3" customFormat="1" ht="18" customHeight="1" thickTop="1" thickBot="1">
      <c r="B43" s="260" t="s">
        <v>11</v>
      </c>
      <c r="C43" s="31" t="s">
        <v>65</v>
      </c>
      <c r="D43" s="34">
        <v>36.838090999999999</v>
      </c>
      <c r="E43" s="34">
        <v>27.672640000000001</v>
      </c>
      <c r="F43" s="34">
        <v>12.66418</v>
      </c>
      <c r="G43" s="34">
        <v>20.574870000000001</v>
      </c>
      <c r="H43" s="34">
        <v>14.472146</v>
      </c>
      <c r="I43" s="34">
        <v>20.500502999999998</v>
      </c>
      <c r="J43" s="34">
        <v>30.720199999999998</v>
      </c>
      <c r="K43" s="34">
        <v>48.259148000000003</v>
      </c>
      <c r="L43" s="34">
        <v>9.2787419999999994</v>
      </c>
      <c r="M43" s="34">
        <v>16.267619</v>
      </c>
      <c r="N43" s="34">
        <v>25.099270000000001</v>
      </c>
      <c r="O43" s="34">
        <v>13.911981000000001</v>
      </c>
      <c r="P43" s="34">
        <f>+SUM(D43:O43)</f>
        <v>276.25939000000005</v>
      </c>
      <c r="R43" s="14"/>
    </row>
    <row r="44" spans="2:18" s="3" customFormat="1" ht="18" customHeight="1" thickTop="1" thickBot="1">
      <c r="B44" s="260"/>
      <c r="C44" s="29" t="s">
        <v>59</v>
      </c>
      <c r="D44" s="34">
        <v>44.835098000000002</v>
      </c>
      <c r="E44" s="34">
        <v>15.183161999999999</v>
      </c>
      <c r="F44" s="34">
        <v>27.270921999999999</v>
      </c>
      <c r="G44" s="34">
        <v>21.867269</v>
      </c>
      <c r="H44" s="34">
        <v>40.602870000000003</v>
      </c>
      <c r="I44" s="34">
        <v>29.195350999999999</v>
      </c>
      <c r="J44" s="34">
        <v>35.618971000000002</v>
      </c>
      <c r="K44" s="34">
        <v>37.822403999999999</v>
      </c>
      <c r="L44" s="34">
        <v>45.370244999999997</v>
      </c>
      <c r="M44" s="34">
        <v>51.000928000000002</v>
      </c>
      <c r="N44" s="34">
        <v>35.029420000000002</v>
      </c>
      <c r="O44" s="34">
        <v>27.023273</v>
      </c>
      <c r="P44" s="34">
        <f>+SUM(D44:O44)</f>
        <v>410.81991300000004</v>
      </c>
      <c r="R44" s="14"/>
    </row>
    <row r="45" spans="2:18" s="3" customFormat="1" ht="18" customHeight="1" thickTop="1" thickBot="1">
      <c r="B45" s="260"/>
      <c r="C45" s="29" t="s">
        <v>60</v>
      </c>
      <c r="D45" s="52">
        <v>0.91161400000000004</v>
      </c>
      <c r="E45" s="52">
        <v>0.86998200000000003</v>
      </c>
      <c r="F45" s="52">
        <v>0.17271900000000001</v>
      </c>
      <c r="G45" s="52">
        <v>0.261378</v>
      </c>
      <c r="H45" s="52">
        <v>0.13281799999999999</v>
      </c>
      <c r="I45" s="52">
        <v>0.88345799999999997</v>
      </c>
      <c r="J45" s="52">
        <v>0.50579700000000005</v>
      </c>
      <c r="K45" s="52">
        <v>0.255357</v>
      </c>
      <c r="L45" s="52">
        <v>0.862429</v>
      </c>
      <c r="M45" s="52">
        <v>0.59175100000000003</v>
      </c>
      <c r="N45" s="52">
        <v>0.50642900000000002</v>
      </c>
      <c r="O45" s="52">
        <v>0.27529399999999998</v>
      </c>
      <c r="P45" s="34">
        <f>+SUM(D45:O45)</f>
        <v>6.2290259999999993</v>
      </c>
      <c r="R45" s="14"/>
    </row>
    <row r="46" spans="2:18" s="3" customFormat="1" ht="18" customHeight="1" thickTop="1" thickBot="1">
      <c r="B46" s="260"/>
      <c r="C46" s="29" t="s">
        <v>139</v>
      </c>
      <c r="D46" s="52">
        <f t="shared" ref="D46:I46" si="19">+D43+D44+D45</f>
        <v>82.584803000000008</v>
      </c>
      <c r="E46" s="52">
        <f t="shared" si="19"/>
        <v>43.725783999999997</v>
      </c>
      <c r="F46" s="52">
        <f t="shared" si="19"/>
        <v>40.107821000000001</v>
      </c>
      <c r="G46" s="52">
        <f t="shared" si="19"/>
        <v>42.703516999999998</v>
      </c>
      <c r="H46" s="52">
        <f t="shared" si="19"/>
        <v>55.207834000000005</v>
      </c>
      <c r="I46" s="52">
        <f t="shared" si="19"/>
        <v>50.579311999999994</v>
      </c>
      <c r="J46" s="52">
        <f t="shared" ref="J46:P46" si="20">+J43+J44+J45</f>
        <v>66.844967999999994</v>
      </c>
      <c r="K46" s="52">
        <f t="shared" si="20"/>
        <v>86.336909000000006</v>
      </c>
      <c r="L46" s="52">
        <f t="shared" si="20"/>
        <v>55.511415999999997</v>
      </c>
      <c r="M46" s="52">
        <f t="shared" si="20"/>
        <v>67.860298</v>
      </c>
      <c r="N46" s="52">
        <f t="shared" si="20"/>
        <v>60.635119000000003</v>
      </c>
      <c r="O46" s="52">
        <f t="shared" si="20"/>
        <v>41.210548000000003</v>
      </c>
      <c r="P46" s="34">
        <f t="shared" si="20"/>
        <v>693.30832900000007</v>
      </c>
      <c r="R46" s="46">
        <f t="shared" ref="R46" si="21">+D46+E46+F46+G46+H46+I46+J46+K46+L46+M46+N46+O46</f>
        <v>693.30832900000019</v>
      </c>
    </row>
    <row r="47" spans="2:18" s="3" customFormat="1" ht="18" customHeight="1" thickTop="1" thickBot="1">
      <c r="B47" s="260"/>
      <c r="C47" s="32" t="s">
        <v>81</v>
      </c>
      <c r="D47" s="35">
        <f>+(D46-'Impo 2015'!D46)/'Impo 2015'!D46</f>
        <v>1.6300994026123479</v>
      </c>
      <c r="E47" s="35">
        <f>+(E46-'Impo 2015'!E46)/'Impo 2015'!E46</f>
        <v>-0.35520535850794566</v>
      </c>
      <c r="F47" s="35">
        <f>+(F46-'Impo 2015'!F46)/'Impo 2015'!F46</f>
        <v>-0.2872404741737965</v>
      </c>
      <c r="G47" s="35">
        <f>+(G46-'Impo 2015'!G46)/'Impo 2015'!G46</f>
        <v>-1.6878483894549733E-2</v>
      </c>
      <c r="H47" s="35">
        <f>+(H46-'Impo 2015'!H46)/'Impo 2015'!H46</f>
        <v>0.19783218799651733</v>
      </c>
      <c r="I47" s="35">
        <f>+(I46-'Impo 2015'!I46)/'Impo 2015'!I46</f>
        <v>9.9537018619384313E-2</v>
      </c>
      <c r="J47" s="35">
        <f>+(J46-'Impo 2015'!J46)/'Impo 2015'!J46</f>
        <v>0.18646550080778004</v>
      </c>
      <c r="K47" s="35">
        <f>+(K46-'Impo 2015'!K46)/'Impo 2015'!K46</f>
        <v>0.46451438897887187</v>
      </c>
      <c r="L47" s="35">
        <f>+(L46-'Impo 2015'!L46)/'Impo 2015'!L46</f>
        <v>-0.46742678305229274</v>
      </c>
      <c r="M47" s="35">
        <f>+(M46-'Impo 2015'!M46)/'Impo 2015'!M46</f>
        <v>0.2977752260119369</v>
      </c>
      <c r="N47" s="35">
        <f>+(N46-'Impo 2015'!N46)/'Impo 2015'!N46</f>
        <v>0.86617600712060117</v>
      </c>
      <c r="O47" s="35">
        <f>+(O46-'Impo 2015'!O46)/'Impo 2015'!O46</f>
        <v>-0.13978280858868991</v>
      </c>
      <c r="P47" s="35">
        <f>+(P46-'Impo 2015'!P46)/'Impo 2015'!P46</f>
        <v>7.7863358585545953E-2</v>
      </c>
      <c r="R47" s="14"/>
    </row>
    <row r="48" spans="2:18" s="3" customFormat="1" ht="18" customHeight="1" thickTop="1" thickBot="1">
      <c r="B48" s="260" t="s">
        <v>86</v>
      </c>
      <c r="C48" s="31" t="s">
        <v>65</v>
      </c>
      <c r="D48" s="34">
        <v>14.367066389999996</v>
      </c>
      <c r="E48" s="34">
        <v>12.278562959999997</v>
      </c>
      <c r="F48" s="34">
        <v>15.837217380000004</v>
      </c>
      <c r="G48" s="34">
        <v>20.555800569999999</v>
      </c>
      <c r="H48" s="34">
        <v>18.10527287</v>
      </c>
      <c r="I48" s="34">
        <v>17.625047250000005</v>
      </c>
      <c r="J48" s="34">
        <v>14.594181250000004</v>
      </c>
      <c r="K48" s="34">
        <v>13.57089641</v>
      </c>
      <c r="L48" s="34">
        <v>13.849088140000001</v>
      </c>
      <c r="M48" s="34">
        <v>13.220171000000001</v>
      </c>
      <c r="N48" s="34">
        <v>9.6993894899999979</v>
      </c>
      <c r="O48" s="34">
        <v>14.008227380000003</v>
      </c>
      <c r="P48" s="34">
        <f>+SUM(D48:O48)</f>
        <v>177.71092109</v>
      </c>
      <c r="R48" s="14"/>
    </row>
    <row r="49" spans="2:19" s="3" customFormat="1" ht="18" customHeight="1" thickTop="1" thickBot="1">
      <c r="B49" s="260"/>
      <c r="C49" s="29" t="s">
        <v>59</v>
      </c>
      <c r="D49" s="34">
        <v>12.123963420000003</v>
      </c>
      <c r="E49" s="34">
        <v>12.92620591</v>
      </c>
      <c r="F49" s="34">
        <v>24.204541490000008</v>
      </c>
      <c r="G49" s="34">
        <v>29.385629229999996</v>
      </c>
      <c r="H49" s="34">
        <v>8.9564767199999977</v>
      </c>
      <c r="I49" s="34">
        <v>32.106849879999999</v>
      </c>
      <c r="J49" s="34">
        <v>7.6370212700000009</v>
      </c>
      <c r="K49" s="34">
        <v>14.019210809999997</v>
      </c>
      <c r="L49" s="34">
        <v>35.923966530000001</v>
      </c>
      <c r="M49" s="34">
        <v>9.4080743400000006</v>
      </c>
      <c r="N49" s="34">
        <v>23.115860440000006</v>
      </c>
      <c r="O49" s="34">
        <v>16.040452590000001</v>
      </c>
      <c r="P49" s="34">
        <f>+SUM(D49:O49)</f>
        <v>225.84825263000002</v>
      </c>
      <c r="R49" s="14"/>
    </row>
    <row r="50" spans="2:19" s="3" customFormat="1" ht="18" customHeight="1" thickTop="1" thickBot="1">
      <c r="B50" s="260"/>
      <c r="C50" s="29" t="s">
        <v>60</v>
      </c>
      <c r="D50" s="52">
        <v>7.8082930000000009E-2</v>
      </c>
      <c r="E50" s="52">
        <v>0.14069558999999995</v>
      </c>
      <c r="F50" s="52">
        <v>0.19265158999999998</v>
      </c>
      <c r="G50" s="52">
        <v>0.19360682000000001</v>
      </c>
      <c r="H50" s="52">
        <v>9.7050830000000005E-2</v>
      </c>
      <c r="I50" s="52">
        <v>0.25365839000000007</v>
      </c>
      <c r="J50" s="52">
        <v>0.18763564999999993</v>
      </c>
      <c r="K50" s="52">
        <v>0.19796552000000001</v>
      </c>
      <c r="L50" s="52">
        <v>0.38797464000000004</v>
      </c>
      <c r="M50" s="52">
        <v>9.0418530000000011E-2</v>
      </c>
      <c r="N50" s="52">
        <v>0.10546995999999999</v>
      </c>
      <c r="O50" s="52">
        <v>6.2080029999999994E-2</v>
      </c>
      <c r="P50" s="34">
        <f>+SUM(D50:O50)</f>
        <v>1.98729048</v>
      </c>
      <c r="R50" s="14"/>
    </row>
    <row r="51" spans="2:19" s="3" customFormat="1" ht="18" customHeight="1" thickTop="1" thickBot="1">
      <c r="B51" s="260"/>
      <c r="C51" s="29" t="s">
        <v>139</v>
      </c>
      <c r="D51" s="52">
        <f t="shared" ref="D51:I51" si="22">+D48+D49+D50</f>
        <v>26.569112740000001</v>
      </c>
      <c r="E51" s="52">
        <f t="shared" si="22"/>
        <v>25.345464459999995</v>
      </c>
      <c r="F51" s="52">
        <f t="shared" si="22"/>
        <v>40.234410460000007</v>
      </c>
      <c r="G51" s="52">
        <f t="shared" si="22"/>
        <v>50.135036619999994</v>
      </c>
      <c r="H51" s="52">
        <f t="shared" si="22"/>
        <v>27.158800419999999</v>
      </c>
      <c r="I51" s="52">
        <f t="shared" si="22"/>
        <v>49.985555520000005</v>
      </c>
      <c r="J51" s="52">
        <f t="shared" ref="J51:P51" si="23">+J48+J49+J50</f>
        <v>22.418838170000004</v>
      </c>
      <c r="K51" s="52">
        <f t="shared" si="23"/>
        <v>27.788072739999997</v>
      </c>
      <c r="L51" s="52">
        <f t="shared" si="23"/>
        <v>50.161029310000004</v>
      </c>
      <c r="M51" s="52">
        <f t="shared" si="23"/>
        <v>22.71866387</v>
      </c>
      <c r="N51" s="52">
        <f t="shared" si="23"/>
        <v>32.920719890000008</v>
      </c>
      <c r="O51" s="52">
        <f t="shared" si="23"/>
        <v>30.110760000000003</v>
      </c>
      <c r="P51" s="34">
        <f t="shared" si="23"/>
        <v>405.5464642</v>
      </c>
      <c r="R51" s="46">
        <f t="shared" ref="R51" si="24">+D51+E51+F51+G51+H51+I51+J51+K51+L51+M51+N51+O51</f>
        <v>405.54646420000006</v>
      </c>
      <c r="S51" s="61"/>
    </row>
    <row r="52" spans="2:19" s="3" customFormat="1" ht="18" customHeight="1" thickTop="1" thickBot="1">
      <c r="B52" s="260"/>
      <c r="C52" s="32" t="s">
        <v>81</v>
      </c>
      <c r="D52" s="35">
        <f>+(D51-'Impo 2015'!D51)/'Impo 2015'!D51</f>
        <v>1.965473138107683E-3</v>
      </c>
      <c r="E52" s="35">
        <f>+(E51-'Impo 2015'!E51)/'Impo 2015'!E51</f>
        <v>0.35036368658184036</v>
      </c>
      <c r="F52" s="35">
        <f>+(F51-'Impo 2015'!F51)/'Impo 2015'!F51</f>
        <v>6.308883493244187E-2</v>
      </c>
      <c r="G52" s="35">
        <f>+(G51-'Impo 2015'!G51)/'Impo 2015'!G51</f>
        <v>1.4376257046459189</v>
      </c>
      <c r="H52" s="35">
        <f>+(H51-'Impo 2015'!H51)/'Impo 2015'!H51</f>
        <v>-0.32643602507654135</v>
      </c>
      <c r="I52" s="35">
        <f>+(I51-'Impo 2015'!I51)/'Impo 2015'!I51</f>
        <v>0.71363982644622914</v>
      </c>
      <c r="J52" s="35">
        <f>+(J51-'Impo 2015'!J51)/'Impo 2015'!J51</f>
        <v>-0.37872841603309682</v>
      </c>
      <c r="K52" s="35">
        <f>+(K51-'Impo 2015'!K51)/'Impo 2015'!K51</f>
        <v>-0.46425300780049095</v>
      </c>
      <c r="L52" s="35">
        <f>+(L51-'Impo 2015'!L51)/'Impo 2015'!L51</f>
        <v>0.92499493913442699</v>
      </c>
      <c r="M52" s="35">
        <f>+(M51-'Impo 2015'!M51)/'Impo 2015'!M51</f>
        <v>-0.58528194953346913</v>
      </c>
      <c r="N52" s="35">
        <f>+(N51-'Impo 2015'!N51)/'Impo 2015'!N51</f>
        <v>-0.11214133436003408</v>
      </c>
      <c r="O52" s="35">
        <f>+(O51-'Impo 2015'!O51)/'Impo 2015'!O51</f>
        <v>-0.51894680832291717</v>
      </c>
      <c r="P52" s="35">
        <f>+(P51-'Impo 2015'!P51)/'Impo 2015'!P51</f>
        <v>-8.1756773564018725E-2</v>
      </c>
      <c r="R52" s="14"/>
    </row>
    <row r="53" spans="2:19" ht="18" customHeight="1" thickTop="1" thickBot="1">
      <c r="B53" s="260" t="s">
        <v>43</v>
      </c>
      <c r="C53" s="31" t="s">
        <v>65</v>
      </c>
      <c r="D53" s="34">
        <v>104.522777022</v>
      </c>
      <c r="E53" s="34">
        <v>124.05219694199999</v>
      </c>
      <c r="F53" s="34">
        <v>134.76151287600001</v>
      </c>
      <c r="G53" s="34">
        <v>141.92031333699998</v>
      </c>
      <c r="H53" s="34">
        <v>127.27949603499999</v>
      </c>
      <c r="I53" s="34">
        <v>120.67761250000001</v>
      </c>
      <c r="J53" s="34">
        <v>117.78953036</v>
      </c>
      <c r="K53" s="34">
        <v>129.83532346600001</v>
      </c>
      <c r="L53" s="34">
        <v>184.13222214900003</v>
      </c>
      <c r="M53" s="34">
        <v>175.17237952100001</v>
      </c>
      <c r="N53" s="34">
        <v>164.44917422099999</v>
      </c>
      <c r="O53" s="34">
        <v>144.3719707002</v>
      </c>
      <c r="P53" s="34">
        <f>+SUM(D53:O53)</f>
        <v>1668.9645091292</v>
      </c>
      <c r="R53" s="14"/>
    </row>
    <row r="54" spans="2:19" ht="18" customHeight="1" thickTop="1" thickBot="1">
      <c r="B54" s="260"/>
      <c r="C54" s="29" t="s">
        <v>59</v>
      </c>
      <c r="D54" s="34">
        <v>667.29692844800002</v>
      </c>
      <c r="E54" s="34">
        <v>581.82348115399986</v>
      </c>
      <c r="F54" s="34">
        <v>678.75159161199986</v>
      </c>
      <c r="G54" s="34">
        <v>756.8834946259999</v>
      </c>
      <c r="H54" s="34">
        <v>599.3453637749999</v>
      </c>
      <c r="I54" s="34">
        <v>592.62790738000012</v>
      </c>
      <c r="J54" s="34">
        <v>636.62570148700001</v>
      </c>
      <c r="K54" s="34">
        <v>709.63994636299992</v>
      </c>
      <c r="L54" s="34">
        <v>713.52576364099991</v>
      </c>
      <c r="M54" s="34">
        <v>670.3546359390001</v>
      </c>
      <c r="N54" s="34">
        <v>850.90657828399992</v>
      </c>
      <c r="O54" s="34">
        <v>694.43560018099993</v>
      </c>
      <c r="P54" s="34">
        <f>+SUM(D54:O54)</f>
        <v>8152.2169928899993</v>
      </c>
      <c r="R54" s="14"/>
    </row>
    <row r="55" spans="2:19" ht="18" customHeight="1" thickTop="1" thickBot="1">
      <c r="B55" s="260"/>
      <c r="C55" s="29" t="s">
        <v>60</v>
      </c>
      <c r="D55" s="34">
        <v>8.0603775970000004</v>
      </c>
      <c r="E55" s="34">
        <v>7.9942971740000015</v>
      </c>
      <c r="F55" s="34">
        <v>7.046705590000002</v>
      </c>
      <c r="G55" s="34">
        <v>10.787311541000001</v>
      </c>
      <c r="H55" s="34">
        <v>8.418873108999998</v>
      </c>
      <c r="I55" s="34">
        <v>9.0916074509999998</v>
      </c>
      <c r="J55" s="34">
        <v>10.981602747999995</v>
      </c>
      <c r="K55" s="34">
        <v>8.718868414000001</v>
      </c>
      <c r="L55" s="34">
        <v>7.4984268530000007</v>
      </c>
      <c r="M55" s="34">
        <v>7.863863724999999</v>
      </c>
      <c r="N55" s="34">
        <v>9.8270781879999962</v>
      </c>
      <c r="O55" s="34">
        <v>7.1852308179999991</v>
      </c>
      <c r="P55" s="34">
        <f>+SUM(D55:O55)</f>
        <v>103.47424320799999</v>
      </c>
      <c r="R55" s="14"/>
    </row>
    <row r="56" spans="2:19" ht="18" customHeight="1" thickTop="1" thickBot="1">
      <c r="B56" s="260"/>
      <c r="C56" s="29" t="s">
        <v>139</v>
      </c>
      <c r="D56" s="34">
        <f t="shared" ref="D56:I56" si="25">+D53+D54+D55</f>
        <v>779.88008306699999</v>
      </c>
      <c r="E56" s="34">
        <f t="shared" si="25"/>
        <v>713.86997526999994</v>
      </c>
      <c r="F56" s="34">
        <f t="shared" si="25"/>
        <v>820.55981007799983</v>
      </c>
      <c r="G56" s="34">
        <f t="shared" si="25"/>
        <v>909.59111950399983</v>
      </c>
      <c r="H56" s="34">
        <f t="shared" si="25"/>
        <v>735.04373291899981</v>
      </c>
      <c r="I56" s="34">
        <f t="shared" si="25"/>
        <v>722.39712733100009</v>
      </c>
      <c r="J56" s="34">
        <f t="shared" ref="J56:P56" si="26">+J53+J54+J55</f>
        <v>765.39683459499997</v>
      </c>
      <c r="K56" s="34">
        <f t="shared" si="26"/>
        <v>848.19413824299988</v>
      </c>
      <c r="L56" s="34">
        <f t="shared" si="26"/>
        <v>905.15641264299984</v>
      </c>
      <c r="M56" s="34">
        <f t="shared" si="26"/>
        <v>853.39087918500013</v>
      </c>
      <c r="N56" s="52">
        <f t="shared" si="26"/>
        <v>1025.1828306929999</v>
      </c>
      <c r="O56" s="52">
        <f>+O53+O54+O55</f>
        <v>845.99280169919996</v>
      </c>
      <c r="P56" s="34">
        <f t="shared" si="26"/>
        <v>9924.6557452271991</v>
      </c>
      <c r="Q56" s="4" t="s">
        <v>17</v>
      </c>
      <c r="R56" s="46">
        <f t="shared" ref="R56" si="27">+D56+E56+F56+G56+H56+I56+J56+K56+L56+M56+N56+O56</f>
        <v>9924.6557452271973</v>
      </c>
    </row>
    <row r="57" spans="2:19" ht="18" customHeight="1" thickTop="1" thickBot="1">
      <c r="B57" s="260"/>
      <c r="C57" s="32" t="s">
        <v>81</v>
      </c>
      <c r="D57" s="139">
        <f>+(D56-'Impo 2015'!D56)/'Impo 2015'!D56</f>
        <v>-5.7682759750935432E-2</v>
      </c>
      <c r="E57" s="139">
        <f>+(E56-'Impo 2015'!E56)/'Impo 2015'!E56</f>
        <v>-0.1214398253842404</v>
      </c>
      <c r="F57" s="139">
        <f>+(F56-'Impo 2015'!F56)/'Impo 2015'!F56</f>
        <v>-0.13472738682287036</v>
      </c>
      <c r="G57" s="139">
        <f>+(G56-'Impo 2015'!G56)/'Impo 2015'!G56</f>
        <v>1.4911610839689967E-2</v>
      </c>
      <c r="H57" s="139">
        <f>+(H56-'Impo 2015'!H56)/'Impo 2015'!H56</f>
        <v>-0.19633820541082195</v>
      </c>
      <c r="I57" s="139">
        <f>+(I56-'Impo 2015'!I56)/'Impo 2015'!I56</f>
        <v>-0.21851862281423948</v>
      </c>
      <c r="J57" s="139">
        <f>+(J56-'Impo 2015'!J56)/'Impo 2015'!J56</f>
        <v>-9.7886797445310259E-2</v>
      </c>
      <c r="K57" s="139">
        <f>+(K56-'Impo 2015'!K56)/'Impo 2015'!K56</f>
        <v>-6.5353390653124621E-2</v>
      </c>
      <c r="L57" s="139">
        <f>+(L56-'Impo 2015'!L56)/'Impo 2015'!L56</f>
        <v>2.0503032126081643E-2</v>
      </c>
      <c r="M57" s="139">
        <f>+(M56-'Impo 2015'!M56)/'Impo 2015'!M56</f>
        <v>0.14845837934198494</v>
      </c>
      <c r="N57" s="139">
        <f>+(N56-'Impo 2015'!N56)/'Impo 2015'!N56</f>
        <v>0.41697822056979805</v>
      </c>
      <c r="O57" s="139">
        <f>+(O56-'Impo 2015'!O56)/'Impo 2015'!O56</f>
        <v>7.9345035644091802E-2</v>
      </c>
      <c r="P57" s="35">
        <f>+(P56-'Impo 2015'!P56)/'Impo 2015'!P56</f>
        <v>-2.8616202948598381E-2</v>
      </c>
      <c r="R57" s="14"/>
    </row>
    <row r="58" spans="2:19" s="3" customFormat="1" ht="18" customHeight="1" thickTop="1" thickBot="1">
      <c r="B58" s="260" t="s">
        <v>71</v>
      </c>
      <c r="C58" s="31" t="s">
        <v>65</v>
      </c>
      <c r="D58" s="34">
        <v>27.190035959999999</v>
      </c>
      <c r="E58" s="34">
        <v>12.715099260000001</v>
      </c>
      <c r="F58" s="34">
        <v>21.89635894000001</v>
      </c>
      <c r="G58" s="34">
        <v>30.409688939999995</v>
      </c>
      <c r="H58" s="34">
        <v>34.180226500000003</v>
      </c>
      <c r="I58" s="34">
        <v>32.706060570000005</v>
      </c>
      <c r="J58" s="34">
        <v>26.394210449999999</v>
      </c>
      <c r="K58" s="34">
        <v>55.693943039999986</v>
      </c>
      <c r="L58" s="34">
        <v>22.384031070000002</v>
      </c>
      <c r="M58" s="34">
        <v>42.754757090000005</v>
      </c>
      <c r="N58" s="34">
        <v>28.025371999999994</v>
      </c>
      <c r="O58" s="34">
        <v>50.653073440000014</v>
      </c>
      <c r="P58" s="34">
        <f>+SUM(D58:O58)</f>
        <v>385.00285726000004</v>
      </c>
      <c r="R58" s="14"/>
    </row>
    <row r="59" spans="2:19" s="3" customFormat="1" ht="18" customHeight="1" thickTop="1" thickBot="1">
      <c r="B59" s="260"/>
      <c r="C59" s="29" t="s">
        <v>59</v>
      </c>
      <c r="D59" s="34">
        <v>25.311227359999997</v>
      </c>
      <c r="E59" s="34">
        <v>6.3560052000000011</v>
      </c>
      <c r="F59" s="34">
        <v>15.180927430000001</v>
      </c>
      <c r="G59" s="34">
        <v>4.8147331099999997</v>
      </c>
      <c r="H59" s="34">
        <v>7.8460743999999982</v>
      </c>
      <c r="I59" s="34">
        <v>5.4715563800000018</v>
      </c>
      <c r="J59" s="34">
        <v>10.880150089999994</v>
      </c>
      <c r="K59" s="34">
        <v>20.809460059999996</v>
      </c>
      <c r="L59" s="34">
        <v>10.3546035</v>
      </c>
      <c r="M59" s="34">
        <v>9.5979855900000022</v>
      </c>
      <c r="N59" s="34">
        <v>13.752967639999994</v>
      </c>
      <c r="O59" s="34">
        <v>13.422377039999999</v>
      </c>
      <c r="P59" s="34">
        <f>+SUM(D59:O59)</f>
        <v>143.79806779999998</v>
      </c>
      <c r="R59" s="14"/>
    </row>
    <row r="60" spans="2:19" s="3" customFormat="1" ht="18" customHeight="1" thickTop="1" thickBot="1">
      <c r="B60" s="260"/>
      <c r="C60" s="29" t="s">
        <v>60</v>
      </c>
      <c r="D60" s="52">
        <v>8.1836569999999983E-2</v>
      </c>
      <c r="E60" s="52">
        <v>6.0272899999999997E-2</v>
      </c>
      <c r="F60" s="52">
        <v>0.58399178000000007</v>
      </c>
      <c r="G60" s="52">
        <v>3.1716880000000003E-2</v>
      </c>
      <c r="H60" s="52">
        <v>7.6999750000000006E-2</v>
      </c>
      <c r="I60" s="52">
        <v>0.48621453999999997</v>
      </c>
      <c r="J60" s="52">
        <v>0.38203371000000003</v>
      </c>
      <c r="K60" s="52">
        <v>1.3150343899999999</v>
      </c>
      <c r="L60" s="52">
        <v>0.28738894999999998</v>
      </c>
      <c r="M60" s="52">
        <v>0.23711754000000002</v>
      </c>
      <c r="N60" s="52">
        <v>9.0753959999999995E-2</v>
      </c>
      <c r="O60" s="52">
        <v>1.1947870599999997</v>
      </c>
      <c r="P60" s="34">
        <f>+SUM(D60:O60)</f>
        <v>4.8281480299999995</v>
      </c>
      <c r="R60" s="14"/>
    </row>
    <row r="61" spans="2:19" s="3" customFormat="1" ht="18" customHeight="1" thickTop="1" thickBot="1">
      <c r="B61" s="260"/>
      <c r="C61" s="29" t="s">
        <v>139</v>
      </c>
      <c r="D61" s="52">
        <f t="shared" ref="D61:J61" si="28">+D58+D59+D60</f>
        <v>52.583099889999993</v>
      </c>
      <c r="E61" s="52">
        <f t="shared" si="28"/>
        <v>19.131377360000002</v>
      </c>
      <c r="F61" s="52">
        <f t="shared" si="28"/>
        <v>37.661278150000008</v>
      </c>
      <c r="G61" s="52">
        <f t="shared" si="28"/>
        <v>35.256138929999992</v>
      </c>
      <c r="H61" s="52">
        <f t="shared" si="28"/>
        <v>42.103300650000001</v>
      </c>
      <c r="I61" s="52">
        <f t="shared" si="28"/>
        <v>38.663831490000007</v>
      </c>
      <c r="J61" s="52">
        <f t="shared" si="28"/>
        <v>37.656394249999991</v>
      </c>
      <c r="K61" s="52">
        <f t="shared" ref="K61:P61" si="29">+K58+K59+K60</f>
        <v>77.81843748999998</v>
      </c>
      <c r="L61" s="52">
        <f t="shared" si="29"/>
        <v>33.026023520000003</v>
      </c>
      <c r="M61" s="52">
        <f t="shared" si="29"/>
        <v>52.589860220000006</v>
      </c>
      <c r="N61" s="52">
        <f t="shared" si="29"/>
        <v>41.869093599999985</v>
      </c>
      <c r="O61" s="52">
        <f t="shared" si="29"/>
        <v>65.270237540000011</v>
      </c>
      <c r="P61" s="34">
        <f t="shared" si="29"/>
        <v>533.62907309000002</v>
      </c>
      <c r="R61" s="46">
        <f t="shared" ref="R61" si="30">+D61+E61+F61+G61+H61+I61+J61+K61+L61+M61+N61+O61</f>
        <v>533.62907309000002</v>
      </c>
    </row>
    <row r="62" spans="2:19" s="3" customFormat="1" ht="18" customHeight="1" thickTop="1" thickBot="1">
      <c r="B62" s="260"/>
      <c r="C62" s="32" t="s">
        <v>81</v>
      </c>
      <c r="D62" s="35">
        <f>+(D61-'Impo 2015'!D61)/'Impo 2015'!D61</f>
        <v>0.37871438171458416</v>
      </c>
      <c r="E62" s="35">
        <f>+(E61-'Impo 2015'!E61)/'Impo 2015'!E61</f>
        <v>-0.74443905233933894</v>
      </c>
      <c r="F62" s="35">
        <f>+(F61-'Impo 2015'!F61)/'Impo 2015'!F61</f>
        <v>0.33239072106081519</v>
      </c>
      <c r="G62" s="35">
        <f>+(G61-'Impo 2015'!G61)/'Impo 2015'!G61</f>
        <v>1.7644137561679563</v>
      </c>
      <c r="H62" s="35">
        <f>+(H61-'Impo 2015'!H61)/'Impo 2015'!H61</f>
        <v>-4.1117441800990147E-2</v>
      </c>
      <c r="I62" s="35">
        <f>+(I61-'Impo 2015'!I61)/'Impo 2015'!I61</f>
        <v>0.72564849906863305</v>
      </c>
      <c r="J62" s="35">
        <f>+(J61-'Impo 2015'!J61)/'Impo 2015'!J61</f>
        <v>1.8393692624078946</v>
      </c>
      <c r="K62" s="35">
        <f>+(K61-'Impo 2015'!K61)/'Impo 2015'!K61</f>
        <v>0.2564597754067317</v>
      </c>
      <c r="L62" s="35">
        <f>+(L61-'Impo 2015'!L61)/'Impo 2015'!L61</f>
        <v>-0.52888812623070558</v>
      </c>
      <c r="M62" s="35">
        <f>+(M61-'Impo 2015'!M61)/'Impo 2015'!M61</f>
        <v>0.11642396940152595</v>
      </c>
      <c r="N62" s="35">
        <f>+(N61-'Impo 2015'!N61)/'Impo 2015'!N61</f>
        <v>0.25709869796268642</v>
      </c>
      <c r="O62" s="35">
        <f>+(O61-'Impo 2015'!O61)/'Impo 2015'!O61</f>
        <v>0.15577909962778255</v>
      </c>
      <c r="P62" s="35">
        <f>+(P61-'Impo 2015'!P61)/'Impo 2015'!P61</f>
        <v>6.1912284285332596E-2</v>
      </c>
      <c r="R62" s="14"/>
    </row>
    <row r="63" spans="2:19" s="3" customFormat="1" ht="18" customHeight="1" thickTop="1" thickBot="1">
      <c r="B63" s="261" t="s">
        <v>6</v>
      </c>
      <c r="C63" s="31" t="s">
        <v>65</v>
      </c>
      <c r="D63" s="34">
        <v>5.86829468</v>
      </c>
      <c r="E63" s="34">
        <v>6.6252659500000002</v>
      </c>
      <c r="F63" s="34">
        <v>11.572881110000001</v>
      </c>
      <c r="G63" s="34">
        <v>8.696945849999997</v>
      </c>
      <c r="H63" s="34">
        <v>7.5367089300000005</v>
      </c>
      <c r="I63" s="34">
        <v>10.626477660000001</v>
      </c>
      <c r="J63" s="34">
        <v>7.4964330300000004</v>
      </c>
      <c r="K63" s="34">
        <v>12.41540298</v>
      </c>
      <c r="L63" s="34">
        <v>9.8620900599999999</v>
      </c>
      <c r="M63" s="34">
        <v>7.7451666599999998</v>
      </c>
      <c r="N63" s="34">
        <v>9.2762411099999991</v>
      </c>
      <c r="O63" s="34">
        <v>7.6931756300000007</v>
      </c>
      <c r="P63" s="34">
        <f>+SUM(D63:O63)</f>
        <v>105.41508365</v>
      </c>
      <c r="R63" s="14"/>
    </row>
    <row r="64" spans="2:19" s="3" customFormat="1" ht="18" customHeight="1" thickTop="1" thickBot="1">
      <c r="B64" s="261"/>
      <c r="C64" s="29" t="s">
        <v>59</v>
      </c>
      <c r="D64" s="34">
        <v>7.5317323299999996</v>
      </c>
      <c r="E64" s="34">
        <v>14.736248920000003</v>
      </c>
      <c r="F64" s="34">
        <v>9.98003997</v>
      </c>
      <c r="G64" s="34">
        <v>9.3533328000000004</v>
      </c>
      <c r="H64" s="34">
        <v>16.633150709999999</v>
      </c>
      <c r="I64" s="34">
        <v>18.57855631</v>
      </c>
      <c r="J64" s="34">
        <v>8.5195149299999997</v>
      </c>
      <c r="K64" s="34">
        <v>20.943907790000001</v>
      </c>
      <c r="L64" s="34">
        <v>10.847497080000002</v>
      </c>
      <c r="M64" s="34">
        <v>15.6670924</v>
      </c>
      <c r="N64" s="34">
        <v>21.713765280000001</v>
      </c>
      <c r="O64" s="34">
        <v>25.253382680000001</v>
      </c>
      <c r="P64" s="34">
        <f>+SUM(D64:O64)</f>
        <v>179.75822119999998</v>
      </c>
      <c r="R64" s="14"/>
    </row>
    <row r="65" spans="2:20" s="3" customFormat="1" ht="18" customHeight="1" thickTop="1" thickBot="1">
      <c r="B65" s="261"/>
      <c r="C65" s="29" t="s">
        <v>60</v>
      </c>
      <c r="D65" s="52">
        <v>0.49791386999999993</v>
      </c>
      <c r="E65" s="52">
        <v>0.29319555000000003</v>
      </c>
      <c r="F65" s="52">
        <v>0.20792083</v>
      </c>
      <c r="G65" s="52">
        <v>0.23106126000000002</v>
      </c>
      <c r="H65" s="52">
        <v>6.969272E-2</v>
      </c>
      <c r="I65" s="52">
        <v>3.751591E-2</v>
      </c>
      <c r="J65" s="52">
        <v>5.0324899999999999E-2</v>
      </c>
      <c r="K65" s="52">
        <v>0.35409832000000002</v>
      </c>
      <c r="L65" s="52">
        <v>8.2229820000000009E-2</v>
      </c>
      <c r="M65" s="52">
        <v>0.26865947000000001</v>
      </c>
      <c r="N65" s="52">
        <v>6.354224E-2</v>
      </c>
      <c r="O65" s="52">
        <v>6.0698169999999996E-2</v>
      </c>
      <c r="P65" s="34">
        <f>+SUM(D65:O65)</f>
        <v>2.2168530599999992</v>
      </c>
      <c r="R65" s="14"/>
    </row>
    <row r="66" spans="2:20" s="3" customFormat="1" ht="18" customHeight="1" thickTop="1" thickBot="1">
      <c r="B66" s="261"/>
      <c r="C66" s="29" t="s">
        <v>139</v>
      </c>
      <c r="D66" s="52">
        <f t="shared" ref="D66:J66" si="31">+D63+D64+D65</f>
        <v>13.897940879999998</v>
      </c>
      <c r="E66" s="52">
        <f t="shared" si="31"/>
        <v>21.654710420000004</v>
      </c>
      <c r="F66" s="52">
        <f t="shared" si="31"/>
        <v>21.76084191</v>
      </c>
      <c r="G66" s="52">
        <f t="shared" si="31"/>
        <v>18.281339909999996</v>
      </c>
      <c r="H66" s="52">
        <f t="shared" si="31"/>
        <v>24.239552359999998</v>
      </c>
      <c r="I66" s="52">
        <f t="shared" si="31"/>
        <v>29.242549880000002</v>
      </c>
      <c r="J66" s="52">
        <f t="shared" si="31"/>
        <v>16.066272859999998</v>
      </c>
      <c r="K66" s="52">
        <f t="shared" ref="K66:P66" si="32">+K63+K64+K65</f>
        <v>33.713409089999999</v>
      </c>
      <c r="L66" s="52">
        <f t="shared" si="32"/>
        <v>20.791816960000002</v>
      </c>
      <c r="M66" s="52">
        <f t="shared" si="32"/>
        <v>23.68091853</v>
      </c>
      <c r="N66" s="52">
        <f t="shared" si="32"/>
        <v>31.053548629999998</v>
      </c>
      <c r="O66" s="52">
        <f t="shared" si="32"/>
        <v>33.007256480000002</v>
      </c>
      <c r="P66" s="34">
        <f t="shared" si="32"/>
        <v>287.39015790999997</v>
      </c>
      <c r="R66" s="46">
        <f t="shared" ref="R66" si="33">+D66+E66+F66+G66+H66+I66+J66+K66+L66+M66+N66+O66</f>
        <v>287.39015791000003</v>
      </c>
    </row>
    <row r="67" spans="2:20" s="3" customFormat="1" ht="18" customHeight="1" thickTop="1" thickBot="1">
      <c r="B67" s="261"/>
      <c r="C67" s="32" t="s">
        <v>81</v>
      </c>
      <c r="D67" s="35">
        <f>+(D66-'Impo 2015'!D66)/'Impo 2015'!D66</f>
        <v>-0.34806383072548064</v>
      </c>
      <c r="E67" s="35">
        <f>+(E66-'Impo 2015'!E66)/'Impo 2015'!E66</f>
        <v>-3.0506116126007097E-2</v>
      </c>
      <c r="F67" s="35">
        <f>+(F66-'Impo 2015'!F66)/'Impo 2015'!F66</f>
        <v>-5.062660519343546E-2</v>
      </c>
      <c r="G67" s="35">
        <f>+(G66-'Impo 2015'!G66)/'Impo 2015'!G66</f>
        <v>-0.35005097116530143</v>
      </c>
      <c r="H67" s="35">
        <f>+(H66-'Impo 2015'!H66)/'Impo 2015'!H66</f>
        <v>0.4398811111455278</v>
      </c>
      <c r="I67" s="35">
        <f>+(I66-'Impo 2015'!I66)/'Impo 2015'!I66</f>
        <v>-0.27815820689131909</v>
      </c>
      <c r="J67" s="35">
        <f>+(J66-'Impo 2015'!J66)/'Impo 2015'!J66</f>
        <v>-0.34108251727027611</v>
      </c>
      <c r="K67" s="35">
        <f>+(K66-'Impo 2015'!K66)/'Impo 2015'!K66</f>
        <v>0.65033188141983811</v>
      </c>
      <c r="L67" s="35">
        <f>+(L66-'Impo 2015'!L66)/'Impo 2015'!L66</f>
        <v>-0.23065604180479582</v>
      </c>
      <c r="M67" s="35">
        <f>+(M66-'Impo 2015'!M66)/'Impo 2015'!M66</f>
        <v>-0.11643869566735356</v>
      </c>
      <c r="N67" s="35">
        <f>+(N66-'Impo 2015'!N66)/'Impo 2015'!N66</f>
        <v>0.19852420760320463</v>
      </c>
      <c r="O67" s="35">
        <f>+(O66-'Impo 2015'!O66)/'Impo 2015'!O66</f>
        <v>0.1052340761504494</v>
      </c>
      <c r="P67" s="35">
        <f>+(P66-'Impo 2015'!P66)/'Impo 2015'!P66</f>
        <v>-6.2227899053593237E-2</v>
      </c>
      <c r="R67" s="14"/>
    </row>
    <row r="68" spans="2:20" s="3" customFormat="1" ht="18" customHeight="1" thickTop="1" thickBot="1">
      <c r="B68" s="261" t="s">
        <v>44</v>
      </c>
      <c r="C68" s="31" t="s">
        <v>65</v>
      </c>
      <c r="D68" s="34">
        <v>97.589132519999936</v>
      </c>
      <c r="E68" s="34">
        <v>71.551436039999956</v>
      </c>
      <c r="F68" s="34">
        <v>70.98256569000003</v>
      </c>
      <c r="G68" s="34">
        <v>69.018062389999685</v>
      </c>
      <c r="H68" s="34">
        <v>38.794654810000075</v>
      </c>
      <c r="I68" s="34">
        <v>97.781477719999856</v>
      </c>
      <c r="J68" s="34">
        <v>78.453100900000138</v>
      </c>
      <c r="K68" s="34">
        <v>52.458652809999904</v>
      </c>
      <c r="L68" s="34">
        <v>53.558309380000019</v>
      </c>
      <c r="M68" s="34">
        <v>72.246473829999928</v>
      </c>
      <c r="N68" s="34">
        <v>51.836770199999947</v>
      </c>
      <c r="O68" s="34">
        <v>51.10099728000003</v>
      </c>
      <c r="P68" s="34">
        <f>+SUM(D68:O68)</f>
        <v>805.37163356999929</v>
      </c>
      <c r="R68" s="14"/>
    </row>
    <row r="69" spans="2:20" s="3" customFormat="1" ht="18" customHeight="1" thickTop="1" thickBot="1">
      <c r="B69" s="261"/>
      <c r="C69" s="29" t="s">
        <v>59</v>
      </c>
      <c r="D69" s="34">
        <v>65.211932230000016</v>
      </c>
      <c r="E69" s="34">
        <v>79.894016099999973</v>
      </c>
      <c r="F69" s="34">
        <v>52.132169140000023</v>
      </c>
      <c r="G69" s="34">
        <v>89.684935040000013</v>
      </c>
      <c r="H69" s="34">
        <v>62.877632450000029</v>
      </c>
      <c r="I69" s="34">
        <v>75.728724379999974</v>
      </c>
      <c r="J69" s="34">
        <v>55.187479209999999</v>
      </c>
      <c r="K69" s="34">
        <v>90.496530969999966</v>
      </c>
      <c r="L69" s="34">
        <v>78.720532690000013</v>
      </c>
      <c r="M69" s="34">
        <v>92.551318849999987</v>
      </c>
      <c r="N69" s="34">
        <v>50.84728565999999</v>
      </c>
      <c r="O69" s="34">
        <v>94.947862119999954</v>
      </c>
      <c r="P69" s="34">
        <f>+SUM(D69:O69)</f>
        <v>888.28041884000004</v>
      </c>
      <c r="R69" s="14"/>
    </row>
    <row r="70" spans="2:20" s="3" customFormat="1" ht="18" customHeight="1" thickTop="1" thickBot="1">
      <c r="B70" s="261"/>
      <c r="C70" s="29" t="s">
        <v>60</v>
      </c>
      <c r="D70" s="34">
        <v>7.4886614199999944</v>
      </c>
      <c r="E70" s="34">
        <v>2.4993482500000015</v>
      </c>
      <c r="F70" s="34">
        <v>4.3582032099999974</v>
      </c>
      <c r="G70" s="34">
        <v>6.681504440000003</v>
      </c>
      <c r="H70" s="34">
        <v>0.98625174000000004</v>
      </c>
      <c r="I70" s="34">
        <v>4.2627219699999985</v>
      </c>
      <c r="J70" s="34">
        <v>5.8138021000000064</v>
      </c>
      <c r="K70" s="34">
        <v>6.4697963199999995</v>
      </c>
      <c r="L70" s="34">
        <v>4.3016655900000096</v>
      </c>
      <c r="M70" s="34">
        <v>2.7435439500000007</v>
      </c>
      <c r="N70" s="34">
        <v>3.8176542099999962</v>
      </c>
      <c r="O70" s="34">
        <v>7.25539778</v>
      </c>
      <c r="P70" s="34">
        <f>+SUM(D70:O70)</f>
        <v>56.678550980000011</v>
      </c>
      <c r="R70" s="14"/>
    </row>
    <row r="71" spans="2:20" s="3" customFormat="1" ht="18" customHeight="1" thickTop="1" thickBot="1">
      <c r="B71" s="261"/>
      <c r="C71" s="29" t="s">
        <v>139</v>
      </c>
      <c r="D71" s="52">
        <f t="shared" ref="D71:I71" si="34">+D68+D69+D70</f>
        <v>170.28972616999997</v>
      </c>
      <c r="E71" s="52">
        <f t="shared" si="34"/>
        <v>153.94480038999993</v>
      </c>
      <c r="F71" s="52">
        <f t="shared" si="34"/>
        <v>127.47293804000006</v>
      </c>
      <c r="G71" s="52">
        <f t="shared" si="34"/>
        <v>165.3845018699997</v>
      </c>
      <c r="H71" s="52">
        <f t="shared" si="34"/>
        <v>102.6585390000001</v>
      </c>
      <c r="I71" s="52">
        <f t="shared" si="34"/>
        <v>177.77292406999985</v>
      </c>
      <c r="J71" s="52">
        <f t="shared" ref="J71:P71" si="35">+J68+J69+J70</f>
        <v>139.45438221000015</v>
      </c>
      <c r="K71" s="52">
        <f t="shared" si="35"/>
        <v>149.42498009999986</v>
      </c>
      <c r="L71" s="52">
        <f t="shared" si="35"/>
        <v>136.58050766000002</v>
      </c>
      <c r="M71" s="52">
        <f t="shared" si="35"/>
        <v>167.54133662999993</v>
      </c>
      <c r="N71" s="52">
        <f t="shared" si="35"/>
        <v>106.50171006999994</v>
      </c>
      <c r="O71" s="52">
        <f t="shared" si="35"/>
        <v>153.30425717999998</v>
      </c>
      <c r="P71" s="34">
        <f t="shared" si="35"/>
        <v>1750.3306033899992</v>
      </c>
      <c r="R71" s="46">
        <f t="shared" ref="R71" si="36">+D71+E71+F71+G71+H71+I71+J71+K71+L71+M71+N71+O71</f>
        <v>1750.3306033899994</v>
      </c>
    </row>
    <row r="72" spans="2:20" s="3" customFormat="1" ht="18" customHeight="1" thickTop="1" thickBot="1">
      <c r="B72" s="261"/>
      <c r="C72" s="32" t="s">
        <v>81</v>
      </c>
      <c r="D72" s="35">
        <f>+(D71-'Impo 2015'!D71)/'Impo 2015'!D71</f>
        <v>0.19314963777637756</v>
      </c>
      <c r="E72" s="35">
        <f>+(E71-'Impo 2015'!E71)/'Impo 2015'!E71</f>
        <v>-0.32242149739905834</v>
      </c>
      <c r="F72" s="35">
        <f>+(F71-'Impo 2015'!F71)/'Impo 2015'!F71</f>
        <v>-0.15580431024331179</v>
      </c>
      <c r="G72" s="35">
        <f>+(G71-'Impo 2015'!G71)/'Impo 2015'!G71</f>
        <v>0.17369893281682794</v>
      </c>
      <c r="H72" s="35">
        <f>+(H71-'Impo 2015'!H71)/'Impo 2015'!H71</f>
        <v>2.749482680144762E-2</v>
      </c>
      <c r="I72" s="35">
        <f>+(I71-'Impo 2015'!I71)/'Impo 2015'!I71</f>
        <v>0.33350841472489684</v>
      </c>
      <c r="J72" s="35">
        <f>+(J71-'Impo 2015'!J71)/'Impo 2015'!J71</f>
        <v>0.29836450332510384</v>
      </c>
      <c r="K72" s="35">
        <f>+(K71-'Impo 2015'!K71)/'Impo 2015'!K71</f>
        <v>0.80737484533001191</v>
      </c>
      <c r="L72" s="35">
        <f>+(L71-'Impo 2015'!L71)/'Impo 2015'!L71</f>
        <v>8.3517563543954579E-2</v>
      </c>
      <c r="M72" s="35">
        <f>+(M71-'Impo 2015'!M71)/'Impo 2015'!M71</f>
        <v>0.47163827197033081</v>
      </c>
      <c r="N72" s="35">
        <f>+(N71-'Impo 2015'!N71)/'Impo 2015'!N71</f>
        <v>-0.33961668712719512</v>
      </c>
      <c r="O72" s="35">
        <f>+(O71-'Impo 2015'!O71)/'Impo 2015'!O71</f>
        <v>0.43579307809622581</v>
      </c>
      <c r="P72" s="35">
        <f>+(P71-'Impo 2015'!P71)/'Impo 2015'!P71</f>
        <v>9.8707548546155335E-2</v>
      </c>
      <c r="R72" s="14"/>
    </row>
    <row r="73" spans="2:20" s="3" customFormat="1" ht="18" customHeight="1" thickTop="1" thickBot="1">
      <c r="B73" s="261" t="s">
        <v>7</v>
      </c>
      <c r="C73" s="31" t="s">
        <v>65</v>
      </c>
      <c r="D73" s="52">
        <v>3.6161880000000002</v>
      </c>
      <c r="E73" s="52">
        <v>2.4348122499999993</v>
      </c>
      <c r="F73" s="52">
        <v>3.6227493799999997</v>
      </c>
      <c r="G73" s="52">
        <v>3.04939523</v>
      </c>
      <c r="H73" s="52">
        <v>3.4338610399999996</v>
      </c>
      <c r="I73" s="52">
        <v>4.510528579999999</v>
      </c>
      <c r="J73" s="52">
        <v>3.7476537099999994</v>
      </c>
      <c r="K73" s="52">
        <v>2.6200279900000001</v>
      </c>
      <c r="L73" s="52">
        <v>3.5266709999999999</v>
      </c>
      <c r="M73" s="52">
        <v>2.5136817800000002</v>
      </c>
      <c r="N73" s="52">
        <v>3.0971800700000003</v>
      </c>
      <c r="O73" s="52">
        <v>3.4213248100000002</v>
      </c>
      <c r="P73" s="34">
        <f>+SUM(D73:O73)</f>
        <v>39.59407384</v>
      </c>
      <c r="R73" s="14"/>
    </row>
    <row r="74" spans="2:20" s="3" customFormat="1" ht="18" customHeight="1" thickTop="1" thickBot="1">
      <c r="B74" s="261"/>
      <c r="C74" s="29" t="s">
        <v>59</v>
      </c>
      <c r="D74" s="52">
        <v>6.2298590000000003</v>
      </c>
      <c r="E74" s="52">
        <v>4.8139513900000006</v>
      </c>
      <c r="F74" s="52">
        <v>6.9629356700000011</v>
      </c>
      <c r="G74" s="52">
        <v>6.0414237699999997</v>
      </c>
      <c r="H74" s="52">
        <v>9.5333532400000003</v>
      </c>
      <c r="I74" s="52">
        <v>5.7952151199999999</v>
      </c>
      <c r="J74" s="52">
        <v>5.3025954400000002</v>
      </c>
      <c r="K74" s="52">
        <v>8.1776503099999989</v>
      </c>
      <c r="L74" s="52">
        <v>6.9557289999999998</v>
      </c>
      <c r="M74" s="52">
        <v>6.2622147499999992</v>
      </c>
      <c r="N74" s="52">
        <v>8.295132060000002</v>
      </c>
      <c r="O74" s="52">
        <v>6.2309913500000018</v>
      </c>
      <c r="P74" s="34">
        <f t="shared" ref="P74:P85" si="37">+SUM(D74:O74)</f>
        <v>80.601051099999992</v>
      </c>
      <c r="R74" s="14"/>
    </row>
    <row r="75" spans="2:20" s="3" customFormat="1" ht="18" customHeight="1" thickTop="1" thickBot="1">
      <c r="B75" s="261"/>
      <c r="C75" s="29" t="s">
        <v>60</v>
      </c>
      <c r="D75" s="52">
        <v>0.106806</v>
      </c>
      <c r="E75" s="52">
        <v>9.3703580000000022E-2</v>
      </c>
      <c r="F75" s="52">
        <v>0.36506489000000009</v>
      </c>
      <c r="G75" s="52">
        <v>4.0150219999999993E-2</v>
      </c>
      <c r="H75" s="52">
        <v>0.24889048999999988</v>
      </c>
      <c r="I75" s="52">
        <v>8.6831520000000009E-2</v>
      </c>
      <c r="J75" s="52">
        <v>0.30095888000000004</v>
      </c>
      <c r="K75" s="52">
        <v>0.21334548</v>
      </c>
      <c r="L75" s="52">
        <v>0.12803</v>
      </c>
      <c r="M75" s="52">
        <v>0.16638349000000002</v>
      </c>
      <c r="N75" s="52">
        <v>9.116587000000001E-2</v>
      </c>
      <c r="O75" s="52">
        <v>0.48716387000000011</v>
      </c>
      <c r="P75" s="34">
        <f t="shared" si="37"/>
        <v>2.3284942900000005</v>
      </c>
      <c r="R75" s="14"/>
    </row>
    <row r="76" spans="2:20" s="3" customFormat="1" ht="18" customHeight="1" thickTop="1" thickBot="1">
      <c r="B76" s="261"/>
      <c r="C76" s="29" t="s">
        <v>139</v>
      </c>
      <c r="D76" s="52">
        <f t="shared" ref="D76:J76" si="38">+D73+D74+D75</f>
        <v>9.9528530000000011</v>
      </c>
      <c r="E76" s="52">
        <f t="shared" si="38"/>
        <v>7.3424672199999996</v>
      </c>
      <c r="F76" s="52">
        <f t="shared" si="38"/>
        <v>10.95074994</v>
      </c>
      <c r="G76" s="52">
        <f t="shared" si="38"/>
        <v>9.130969219999999</v>
      </c>
      <c r="H76" s="52">
        <f t="shared" si="38"/>
        <v>13.216104769999999</v>
      </c>
      <c r="I76" s="52">
        <f t="shared" si="38"/>
        <v>10.392575219999999</v>
      </c>
      <c r="J76" s="52">
        <f t="shared" si="38"/>
        <v>9.3512080299999987</v>
      </c>
      <c r="K76" s="52">
        <f t="shared" ref="K76:P76" si="39">+K73+K74+K75</f>
        <v>11.011023779999999</v>
      </c>
      <c r="L76" s="52">
        <f t="shared" si="39"/>
        <v>10.610430000000001</v>
      </c>
      <c r="M76" s="52">
        <f t="shared" si="39"/>
        <v>8.9422800199999983</v>
      </c>
      <c r="N76" s="52">
        <f t="shared" si="39"/>
        <v>11.483478000000002</v>
      </c>
      <c r="O76" s="52">
        <f t="shared" si="39"/>
        <v>10.139480030000001</v>
      </c>
      <c r="P76" s="34">
        <f t="shared" si="39"/>
        <v>122.52361922999999</v>
      </c>
      <c r="R76" s="46">
        <f t="shared" ref="R76" si="40">+D76+E76+F76+G76+H76+I76+J76+K76+L76+M76+N76+O76</f>
        <v>122.52361923000001</v>
      </c>
    </row>
    <row r="77" spans="2:20" s="3" customFormat="1" ht="18" customHeight="1" thickTop="1" thickBot="1">
      <c r="B77" s="261"/>
      <c r="C77" s="32" t="s">
        <v>81</v>
      </c>
      <c r="D77" s="35">
        <f>+(D76-'Impo 2015'!D76)/'Impo 2015'!D76</f>
        <v>-0.37249000926197118</v>
      </c>
      <c r="E77" s="35">
        <f>+(E76-'Impo 2015'!E76)/'Impo 2015'!E76</f>
        <v>-0.1946709249038806</v>
      </c>
      <c r="F77" s="35">
        <f>+(F76-'Impo 2015'!F76)/'Impo 2015'!F76</f>
        <v>-0.3441730970088363</v>
      </c>
      <c r="G77" s="35">
        <f>+(G76-'Impo 2015'!G76)/'Impo 2015'!G76</f>
        <v>-0.14330249061785943</v>
      </c>
      <c r="H77" s="35">
        <f>+(H76-'Impo 2015'!H76)/'Impo 2015'!H76</f>
        <v>2.067337057271592E-2</v>
      </c>
      <c r="I77" s="35">
        <f>+(I76-'Impo 2015'!I76)/'Impo 2015'!I76</f>
        <v>-0.25244323484165426</v>
      </c>
      <c r="J77" s="35">
        <f>+(J76-'Impo 2015'!J76)/'Impo 2015'!J76</f>
        <v>-0.27126981978185044</v>
      </c>
      <c r="K77" s="35">
        <f>+(K76-'Impo 2015'!K76)/'Impo 2015'!K76</f>
        <v>0.23331453478257569</v>
      </c>
      <c r="L77" s="35">
        <f>+(L76-'Impo 2015'!L76)/'Impo 2015'!L76</f>
        <v>-1.2598251798347757E-2</v>
      </c>
      <c r="M77" s="35">
        <f>+(M76-'Impo 2015'!M76)/'Impo 2015'!M76</f>
        <v>-0.24063739709316831</v>
      </c>
      <c r="N77" s="35">
        <f>+(N76-'Impo 2015'!N76)/'Impo 2015'!N76</f>
        <v>0.1787726626933476</v>
      </c>
      <c r="O77" s="35">
        <f>+(O76-'Impo 2015'!O76)/'Impo 2015'!O76</f>
        <v>-0.48984949126108202</v>
      </c>
      <c r="P77" s="35">
        <f>+(P76-'Impo 2015'!P76)/'Impo 2015'!P76</f>
        <v>-0.1996316613685766</v>
      </c>
      <c r="R77" s="14"/>
    </row>
    <row r="78" spans="2:20" s="3" customFormat="1" ht="18" customHeight="1" thickTop="1" thickBot="1">
      <c r="B78" s="261" t="s">
        <v>3</v>
      </c>
      <c r="C78" s="31" t="s">
        <v>65</v>
      </c>
      <c r="D78" s="53">
        <v>3.4610159999999999</v>
      </c>
      <c r="E78" s="53">
        <v>11.563613</v>
      </c>
      <c r="F78" s="53">
        <v>0.92215499999999995</v>
      </c>
      <c r="G78" s="53">
        <v>1.4576100000000001</v>
      </c>
      <c r="H78" s="53">
        <v>0.55486500000000005</v>
      </c>
      <c r="I78" s="53">
        <v>7.0520500000000004</v>
      </c>
      <c r="J78" s="53">
        <v>0.86797500000000005</v>
      </c>
      <c r="K78" s="53">
        <v>1.1820759999999999</v>
      </c>
      <c r="L78" s="53">
        <v>2.0120589999999998</v>
      </c>
      <c r="M78" s="53">
        <v>3.9026000000000001</v>
      </c>
      <c r="N78" s="53">
        <v>0.48241299999999998</v>
      </c>
      <c r="O78" s="53">
        <v>1.332001</v>
      </c>
      <c r="P78" s="30">
        <f>+SUM(D78:O78)</f>
        <v>34.790433</v>
      </c>
      <c r="Q78" s="2"/>
      <c r="R78" s="14"/>
      <c r="S78" s="2"/>
      <c r="T78" s="2"/>
    </row>
    <row r="79" spans="2:20" s="3" customFormat="1" ht="18" customHeight="1" thickTop="1" thickBot="1">
      <c r="B79" s="261"/>
      <c r="C79" s="29" t="s">
        <v>59</v>
      </c>
      <c r="D79" s="53">
        <v>6.008426</v>
      </c>
      <c r="E79" s="53">
        <v>7.6547749999999999</v>
      </c>
      <c r="F79" s="53">
        <v>3.1406649999999998</v>
      </c>
      <c r="G79" s="53">
        <v>5.5156080000000003</v>
      </c>
      <c r="H79" s="53">
        <v>4.4297579999999996</v>
      </c>
      <c r="I79" s="53">
        <v>1.586295</v>
      </c>
      <c r="J79" s="53">
        <v>3.7208410000000001</v>
      </c>
      <c r="K79" s="53">
        <v>8.2533279999999998</v>
      </c>
      <c r="L79" s="53">
        <v>7.6958299999999999</v>
      </c>
      <c r="M79" s="53">
        <v>10.25651</v>
      </c>
      <c r="N79" s="53">
        <v>2.2641800000000001</v>
      </c>
      <c r="O79" s="53">
        <v>4.1179769999999998</v>
      </c>
      <c r="P79" s="30">
        <f t="shared" si="37"/>
        <v>64.644193000000001</v>
      </c>
      <c r="Q79" s="2"/>
      <c r="R79" s="14"/>
      <c r="S79" s="2"/>
      <c r="T79" s="2"/>
    </row>
    <row r="80" spans="2:20" s="3" customFormat="1" ht="18" customHeight="1" thickTop="1" thickBot="1">
      <c r="B80" s="261"/>
      <c r="C80" s="29" t="s">
        <v>60</v>
      </c>
      <c r="D80" s="53">
        <v>11.491508</v>
      </c>
      <c r="E80" s="53">
        <v>11.943275</v>
      </c>
      <c r="F80" s="53">
        <v>6.4757480000000003</v>
      </c>
      <c r="G80" s="53">
        <v>15.810575</v>
      </c>
      <c r="H80" s="53">
        <v>7.1263560000000004</v>
      </c>
      <c r="I80" s="53">
        <v>14.353495000000001</v>
      </c>
      <c r="J80" s="53">
        <v>10.460867</v>
      </c>
      <c r="K80" s="53">
        <v>1.1269279999999999</v>
      </c>
      <c r="L80" s="53">
        <v>3.0058699999999998</v>
      </c>
      <c r="M80" s="53">
        <v>3.7257729999999998</v>
      </c>
      <c r="N80" s="53">
        <v>1.889232</v>
      </c>
      <c r="O80" s="53">
        <v>2.4511449999999999</v>
      </c>
      <c r="P80" s="30">
        <f t="shared" si="37"/>
        <v>89.860772000000011</v>
      </c>
      <c r="Q80" s="2"/>
      <c r="R80" s="14"/>
      <c r="S80" s="2"/>
      <c r="T80" s="2"/>
    </row>
    <row r="81" spans="2:22" s="3" customFormat="1" ht="18" customHeight="1" thickTop="1" thickBot="1">
      <c r="B81" s="261"/>
      <c r="C81" s="29" t="s">
        <v>139</v>
      </c>
      <c r="D81" s="53">
        <f t="shared" ref="D81:J81" si="41">+D78+D79+D80</f>
        <v>20.96095</v>
      </c>
      <c r="E81" s="53">
        <f t="shared" si="41"/>
        <v>31.161663000000001</v>
      </c>
      <c r="F81" s="53">
        <f t="shared" si="41"/>
        <v>10.538568</v>
      </c>
      <c r="G81" s="53">
        <f t="shared" si="41"/>
        <v>22.783792999999999</v>
      </c>
      <c r="H81" s="53">
        <f t="shared" si="41"/>
        <v>12.110979</v>
      </c>
      <c r="I81" s="53">
        <f t="shared" si="41"/>
        <v>22.991840000000003</v>
      </c>
      <c r="J81" s="53">
        <f t="shared" si="41"/>
        <v>15.049683000000002</v>
      </c>
      <c r="K81" s="53">
        <f t="shared" ref="K81:P81" si="42">+K78+K79+K80</f>
        <v>10.562332</v>
      </c>
      <c r="L81" s="53">
        <f t="shared" si="42"/>
        <v>12.713759</v>
      </c>
      <c r="M81" s="53">
        <f t="shared" si="42"/>
        <v>17.884882999999999</v>
      </c>
      <c r="N81" s="53">
        <f t="shared" si="42"/>
        <v>4.6358249999999996</v>
      </c>
      <c r="O81" s="53">
        <f>+O78+O79+O80</f>
        <v>7.9011230000000001</v>
      </c>
      <c r="P81" s="30">
        <f t="shared" si="42"/>
        <v>189.29539800000003</v>
      </c>
      <c r="Q81" s="2"/>
      <c r="R81" s="46">
        <f t="shared" ref="R81:R86" si="43">+D81+E81+F81+G81+H81+I81+J81+K81+L81+M81+N81+O81</f>
        <v>189.29539800000006</v>
      </c>
      <c r="S81" s="12"/>
      <c r="T81" s="61"/>
    </row>
    <row r="82" spans="2:22" s="3" customFormat="1" ht="18" customHeight="1" thickTop="1" thickBot="1">
      <c r="B82" s="261"/>
      <c r="C82" s="32" t="s">
        <v>81</v>
      </c>
      <c r="D82" s="37">
        <f>+(D81-'Impo 2015'!D81)/'Impo 2015'!D81</f>
        <v>-0.95147583697392302</v>
      </c>
      <c r="E82" s="37">
        <f>+(E81-'Impo 2015'!E81)/'Impo 2015'!E81</f>
        <v>-0.52613938476892086</v>
      </c>
      <c r="F82" s="37">
        <f>+(F81-'Impo 2015'!F81)/'Impo 2015'!F81</f>
        <v>-0.89391265442417334</v>
      </c>
      <c r="G82" s="37">
        <f>+(G81-'Impo 2015'!G81)/'Impo 2015'!G81</f>
        <v>-0.25020155154723883</v>
      </c>
      <c r="H82" s="37">
        <f>+(H81-'Impo 2015'!H81)/'Impo 2015'!H81</f>
        <v>-0.34351645780072537</v>
      </c>
      <c r="I82" s="37">
        <f>+(I81-'Impo 2015'!I81)/'Impo 2015'!I81</f>
        <v>-0.18360629699298625</v>
      </c>
      <c r="J82" s="37">
        <f>+(J81-'Impo 2015'!J81)/'Impo 2015'!J81</f>
        <v>-0.35902069976708828</v>
      </c>
      <c r="K82" s="37">
        <f>+(K81-'Impo 2015'!K81)/'Impo 2015'!K81</f>
        <v>-0.57782907063953359</v>
      </c>
      <c r="L82" s="37">
        <f>+(L81-'Impo 2015'!L81)/'Impo 2015'!L81</f>
        <v>-0.69874534457450399</v>
      </c>
      <c r="M82" s="37">
        <f>+(M81-'Impo 2015'!M81)/'Impo 2015'!M81</f>
        <v>-0.74970653515030194</v>
      </c>
      <c r="N82" s="37">
        <f>+(N81-'Impo 2015'!N81)/'Impo 2015'!N81</f>
        <v>-0.92800673101598907</v>
      </c>
      <c r="O82" s="37">
        <f>+(O81-'Impo 2015'!O81)/'Impo 2015'!O81</f>
        <v>-0.85796238394019841</v>
      </c>
      <c r="P82" s="37">
        <f>+(P81-'Impo 2015'!P81)/'Impo 2015'!P81</f>
        <v>-0.8020425303001778</v>
      </c>
      <c r="Q82" s="2"/>
      <c r="R82" s="14"/>
      <c r="S82" s="2"/>
      <c r="T82" s="67"/>
    </row>
    <row r="83" spans="2:22" ht="18" customHeight="1" thickTop="1" thickBot="1">
      <c r="B83" s="261" t="s">
        <v>61</v>
      </c>
      <c r="C83" s="31" t="s">
        <v>65</v>
      </c>
      <c r="D83" s="34">
        <f t="shared" ref="D83:G85" si="44">+D3+D13+D4818+D23+D28+D63+D33+D38+D43+D53+D58+D68+D73+D78+D8+D48+D18</f>
        <v>602.95685755199986</v>
      </c>
      <c r="E83" s="34">
        <f t="shared" si="44"/>
        <v>506.54781558199988</v>
      </c>
      <c r="F83" s="34">
        <f t="shared" si="44"/>
        <v>570.48948040599998</v>
      </c>
      <c r="G83" s="34">
        <f t="shared" si="44"/>
        <v>513.30327690699971</v>
      </c>
      <c r="H83" s="34">
        <f t="shared" ref="H83:O85" si="45">+H3+H13+H4818+H23+H28+H63+H33+H38+H43+H53+H58+H68+H73+H78+H8+H48+H18</f>
        <v>541.17939695500002</v>
      </c>
      <c r="I83" s="34">
        <f t="shared" si="45"/>
        <v>562.19868081999994</v>
      </c>
      <c r="J83" s="34">
        <f t="shared" si="45"/>
        <v>520.77256692000026</v>
      </c>
      <c r="K83" s="34">
        <f t="shared" si="45"/>
        <v>542.96044901599987</v>
      </c>
      <c r="L83" s="34">
        <f t="shared" si="45"/>
        <v>556.11863432900009</v>
      </c>
      <c r="M83" s="34">
        <f t="shared" si="45"/>
        <v>566.84683057099994</v>
      </c>
      <c r="N83" s="34">
        <f t="shared" si="45"/>
        <v>552.86787660099992</v>
      </c>
      <c r="O83" s="34">
        <f t="shared" si="45"/>
        <v>541.0146940602001</v>
      </c>
      <c r="P83" s="34">
        <f>+SUM(D83:O83)</f>
        <v>6577.2565597191997</v>
      </c>
      <c r="Q83" s="5"/>
      <c r="R83" s="46">
        <f t="shared" si="43"/>
        <v>6577.2565597191997</v>
      </c>
      <c r="S83" s="3"/>
      <c r="T83" s="3"/>
      <c r="U83" s="61"/>
      <c r="V83" s="14">
        <f>(P83-'Impo 2015'!I91)/'Impo 2015'!I91</f>
        <v>1.4240415418696004</v>
      </c>
    </row>
    <row r="84" spans="2:22" ht="18" customHeight="1" thickTop="1" thickBot="1">
      <c r="B84" s="261"/>
      <c r="C84" s="29" t="s">
        <v>59</v>
      </c>
      <c r="D84" s="34">
        <f t="shared" si="44"/>
        <v>1220.5650446880002</v>
      </c>
      <c r="E84" s="34">
        <f t="shared" si="44"/>
        <v>1153.1229727839998</v>
      </c>
      <c r="F84" s="34">
        <f t="shared" si="44"/>
        <v>1279.173791872</v>
      </c>
      <c r="G84" s="34">
        <f t="shared" si="44"/>
        <v>1297.8503376159995</v>
      </c>
      <c r="H84" s="34">
        <f t="shared" si="45"/>
        <v>1165.644059235</v>
      </c>
      <c r="I84" s="34">
        <f t="shared" si="45"/>
        <v>1134.9356077900002</v>
      </c>
      <c r="J84" s="34">
        <f t="shared" si="45"/>
        <v>1061.8226274869999</v>
      </c>
      <c r="K84" s="34">
        <f t="shared" si="45"/>
        <v>1352.1119355929998</v>
      </c>
      <c r="L84" s="34">
        <f t="shared" si="45"/>
        <v>1385.1308391409996</v>
      </c>
      <c r="M84" s="34">
        <f t="shared" si="45"/>
        <v>1362.1691263890002</v>
      </c>
      <c r="N84" s="34">
        <f t="shared" si="45"/>
        <v>1508.8911480273332</v>
      </c>
      <c r="O84" s="34">
        <f t="shared" si="45"/>
        <v>1327.9660245587777</v>
      </c>
      <c r="P84" s="34">
        <f t="shared" si="37"/>
        <v>15249.383515181113</v>
      </c>
      <c r="Q84" s="5"/>
      <c r="R84" s="46">
        <f t="shared" si="43"/>
        <v>15249.383515181113</v>
      </c>
      <c r="S84" s="3"/>
      <c r="T84" s="3"/>
      <c r="U84" s="61"/>
      <c r="V84" s="14">
        <f>(P84-'Impo 2015'!I92)/'Impo 2015'!I92</f>
        <v>1.5610257322630687</v>
      </c>
    </row>
    <row r="85" spans="2:22" ht="18" customHeight="1" thickTop="1" thickBot="1">
      <c r="B85" s="261"/>
      <c r="C85" s="29" t="s">
        <v>60</v>
      </c>
      <c r="D85" s="34">
        <f t="shared" si="44"/>
        <v>46.990110866999984</v>
      </c>
      <c r="E85" s="34">
        <f t="shared" si="44"/>
        <v>45.525791783999999</v>
      </c>
      <c r="F85" s="34">
        <f t="shared" si="44"/>
        <v>35.152669509999996</v>
      </c>
      <c r="G85" s="34">
        <f t="shared" si="44"/>
        <v>44.235444461000007</v>
      </c>
      <c r="H85" s="34">
        <f t="shared" si="45"/>
        <v>34.753565688999998</v>
      </c>
      <c r="I85" s="34">
        <f t="shared" si="45"/>
        <v>37.410710880999986</v>
      </c>
      <c r="J85" s="34">
        <f t="shared" si="45"/>
        <v>44.953603808000004</v>
      </c>
      <c r="K85" s="34">
        <f t="shared" si="45"/>
        <v>30.850736364000007</v>
      </c>
      <c r="L85" s="34">
        <f t="shared" si="45"/>
        <v>36.093649983000013</v>
      </c>
      <c r="M85" s="34">
        <f t="shared" si="45"/>
        <v>33.230938085000005</v>
      </c>
      <c r="N85" s="34">
        <f t="shared" si="45"/>
        <v>30.816984164666668</v>
      </c>
      <c r="O85" s="34">
        <f t="shared" si="45"/>
        <v>39.114097826888887</v>
      </c>
      <c r="P85" s="34">
        <f t="shared" si="37"/>
        <v>459.12830342355556</v>
      </c>
      <c r="Q85" s="5"/>
      <c r="R85" s="46">
        <f t="shared" si="43"/>
        <v>459.12830342355556</v>
      </c>
      <c r="S85" s="36" t="s">
        <v>93</v>
      </c>
      <c r="T85" s="3"/>
      <c r="U85" s="61"/>
      <c r="V85" s="14">
        <f>(P85-'Impo 2015'!I93)/'Impo 2015'!I93</f>
        <v>-0.24592576240052724</v>
      </c>
    </row>
    <row r="86" spans="2:22" ht="18" customHeight="1" thickTop="1" thickBot="1">
      <c r="B86" s="261"/>
      <c r="C86" s="29" t="s">
        <v>139</v>
      </c>
      <c r="D86" s="34">
        <f t="shared" ref="D86:P86" si="46">+D83+D84+D85</f>
        <v>1870.512013107</v>
      </c>
      <c r="E86" s="34">
        <f t="shared" si="46"/>
        <v>1705.1965801499996</v>
      </c>
      <c r="F86" s="34">
        <f t="shared" si="46"/>
        <v>1884.8159417879999</v>
      </c>
      <c r="G86" s="34">
        <f t="shared" si="46"/>
        <v>1855.3890589839993</v>
      </c>
      <c r="H86" s="34">
        <f t="shared" si="46"/>
        <v>1741.5770218789999</v>
      </c>
      <c r="I86" s="34">
        <f t="shared" si="46"/>
        <v>1734.544999491</v>
      </c>
      <c r="J86" s="34">
        <f t="shared" si="46"/>
        <v>1627.5487982150003</v>
      </c>
      <c r="K86" s="34">
        <f t="shared" si="46"/>
        <v>1925.9231209729996</v>
      </c>
      <c r="L86" s="34">
        <f t="shared" si="46"/>
        <v>1977.3431234529996</v>
      </c>
      <c r="M86" s="34">
        <f t="shared" si="46"/>
        <v>1962.246895045</v>
      </c>
      <c r="N86" s="34">
        <f t="shared" si="46"/>
        <v>2092.5760087929998</v>
      </c>
      <c r="O86" s="34">
        <f t="shared" si="46"/>
        <v>1908.0948164458666</v>
      </c>
      <c r="P86" s="34">
        <f t="shared" si="46"/>
        <v>22285.768378323868</v>
      </c>
      <c r="Q86" s="5"/>
      <c r="R86" s="46">
        <f t="shared" si="43"/>
        <v>22285.768378323864</v>
      </c>
      <c r="S86" s="63">
        <v>42370</v>
      </c>
      <c r="T86" s="62">
        <f>+'Expo 2016'!D86-'Impo 2016'!D86</f>
        <v>-1192.305945676</v>
      </c>
      <c r="V86" s="14">
        <f>(P86-'Impo 2015'!I94)/'Impo 2015'!I94</f>
        <v>1.402360899705037</v>
      </c>
    </row>
    <row r="87" spans="2:22" ht="18" customHeight="1" thickTop="1" thickBot="1">
      <c r="B87" s="261"/>
      <c r="C87" s="32" t="s">
        <v>81</v>
      </c>
      <c r="D87" s="35">
        <f>+(D86-'Impo 2015'!D86)/'Impo 2015'!D86</f>
        <v>-0.2740397373986127</v>
      </c>
      <c r="E87" s="35">
        <f>+(E86-'Impo 2015'!E86)/'Impo 2015'!E86</f>
        <v>-0.21086700078175552</v>
      </c>
      <c r="F87" s="35">
        <f>+(F86-'Impo 2015'!F86)/'Impo 2015'!F86</f>
        <v>-0.18126665992956761</v>
      </c>
      <c r="G87" s="35">
        <f>+(G86-'Impo 2015'!G86)/'Impo 2015'!G86</f>
        <v>-0.17060800538491944</v>
      </c>
      <c r="H87" s="35">
        <f>+(H86-'Impo 2015'!H86)/'Impo 2015'!H86</f>
        <v>-0.18658448963249052</v>
      </c>
      <c r="I87" s="35">
        <f>+(I86-'Impo 2015'!I86)/'Impo 2015'!I86</f>
        <v>-0.18318286110762502</v>
      </c>
      <c r="J87" s="35">
        <f>+(J86-'Impo 2015'!J86)/'Impo 2015'!J86</f>
        <v>-0.27562601707309931</v>
      </c>
      <c r="K87" s="35">
        <f>+(K86-'Impo 2015'!K86)/'Impo 2015'!K86</f>
        <v>-2.8609970410210458E-2</v>
      </c>
      <c r="L87" s="35">
        <f>+(L86-'Impo 2015'!L86)/'Impo 2015'!L86</f>
        <v>-8.4074790835739488E-2</v>
      </c>
      <c r="M87" s="35">
        <f>+(M86-'Impo 2015'!M86)/'Impo 2015'!M86</f>
        <v>-4.1222385620043239E-2</v>
      </c>
      <c r="N87" s="35">
        <f>+(N86-'Impo 2015'!N86)/'Impo 2015'!N86</f>
        <v>0.1752545435750914</v>
      </c>
      <c r="O87" s="35">
        <f>+(O86-'Impo 2015'!O86)/'Impo 2015'!O86</f>
        <v>4.2486228310314532E-2</v>
      </c>
      <c r="P87" s="35">
        <f>+(P86-'Impo 2015'!P86)/'Impo 2015'!P86</f>
        <v>-0.12902066592045822</v>
      </c>
      <c r="Q87" s="6"/>
      <c r="R87" s="14"/>
      <c r="S87" s="64">
        <v>42005</v>
      </c>
      <c r="T87" s="2">
        <f>+'Expo 2015'!D86-'Impo 2015'!D86</f>
        <v>-1884.7708021149997</v>
      </c>
    </row>
    <row r="88" spans="2:22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4">
        <f>+(T86-T87)/T87</f>
        <v>-0.36740003381946962</v>
      </c>
    </row>
    <row r="89" spans="2:22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2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2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2" ht="18" customHeight="1">
      <c r="B92" s="36" t="s">
        <v>92</v>
      </c>
      <c r="J92" s="2">
        <v>3495</v>
      </c>
      <c r="S92" s="2">
        <f>+P86/1000</f>
        <v>22.285768378323869</v>
      </c>
    </row>
    <row r="93" spans="2:22">
      <c r="J93" s="2">
        <v>8101</v>
      </c>
      <c r="P93" s="14">
        <f>+P83/$P$86</f>
        <v>0.29513259081147647</v>
      </c>
    </row>
    <row r="94" spans="2:22">
      <c r="D94" s="14"/>
      <c r="E94" s="14"/>
      <c r="F94" s="14"/>
      <c r="G94" s="14">
        <f>(G83-'Impo 2015'!G83)/'Impo 2015'!G83</f>
        <v>-0.2775335411746625</v>
      </c>
      <c r="H94" s="14"/>
      <c r="I94" s="14"/>
      <c r="J94" s="57">
        <f>+J92-J93</f>
        <v>-4606</v>
      </c>
      <c r="K94" s="14"/>
      <c r="L94" s="14"/>
      <c r="M94" s="14"/>
      <c r="N94" s="14"/>
      <c r="O94" s="14"/>
      <c r="P94" s="14">
        <f>+P84/$P$86</f>
        <v>0.6842655481429728</v>
      </c>
    </row>
    <row r="95" spans="2:22">
      <c r="D95" s="14"/>
      <c r="E95" s="14"/>
      <c r="F95" s="14"/>
      <c r="G95" s="14">
        <f>(G84-'Impo 2015'!G84)/'Impo 2015'!G84</f>
        <v>-0.10623271426383349</v>
      </c>
      <c r="H95" s="14"/>
      <c r="I95" s="14"/>
      <c r="J95" s="14"/>
      <c r="K95" s="14"/>
      <c r="L95" s="14"/>
      <c r="M95" s="14"/>
      <c r="N95" s="14"/>
      <c r="O95" s="14"/>
      <c r="P95" s="14">
        <f>+P85/$P$86</f>
        <v>2.0601861045550677E-2</v>
      </c>
    </row>
    <row r="96" spans="2:22">
      <c r="D96" s="14"/>
      <c r="E96" s="14"/>
      <c r="F96" s="14"/>
      <c r="G96" s="14">
        <f>(G85-'Impo 2015'!G85)/'Impo 2015'!G85</f>
        <v>-0.4058187188440428</v>
      </c>
      <c r="H96" s="14"/>
      <c r="I96" s="14"/>
      <c r="J96" s="14"/>
      <c r="K96" s="14"/>
      <c r="L96" s="14"/>
      <c r="M96" s="14"/>
      <c r="N96" s="14"/>
      <c r="O96" s="14"/>
      <c r="P96" s="14">
        <f>+P86/$P$86</f>
        <v>1</v>
      </c>
    </row>
    <row r="97" spans="5:15">
      <c r="G97" s="14">
        <f>(G86-'Impo 2015'!G86)/'Impo 2015'!G86</f>
        <v>-0.17060800538491944</v>
      </c>
      <c r="H97" s="14"/>
      <c r="I97" s="14"/>
      <c r="J97" s="14"/>
      <c r="K97" s="14"/>
      <c r="L97" s="14"/>
      <c r="M97" s="14"/>
      <c r="N97" s="14"/>
      <c r="O97" s="14"/>
    </row>
    <row r="102" spans="5:15">
      <c r="F102" s="36" t="s">
        <v>109</v>
      </c>
    </row>
    <row r="103" spans="5:15">
      <c r="E103" s="36" t="s">
        <v>106</v>
      </c>
    </row>
    <row r="104" spans="5:15">
      <c r="E104" s="36" t="s">
        <v>107</v>
      </c>
    </row>
    <row r="105" spans="5:15">
      <c r="E105" s="36" t="s">
        <v>108</v>
      </c>
    </row>
  </sheetData>
  <mergeCells count="17">
    <mergeCell ref="B73:B77"/>
    <mergeCell ref="B78:B82"/>
    <mergeCell ref="B83:B87"/>
    <mergeCell ref="B58:B62"/>
    <mergeCell ref="B63:B67"/>
    <mergeCell ref="B3:B7"/>
    <mergeCell ref="B8:B12"/>
    <mergeCell ref="B13:B17"/>
    <mergeCell ref="B18:B22"/>
    <mergeCell ref="B23:B27"/>
    <mergeCell ref="B53:B57"/>
    <mergeCell ref="B68:B72"/>
    <mergeCell ref="B28:B32"/>
    <mergeCell ref="B48:B52"/>
    <mergeCell ref="B33:B37"/>
    <mergeCell ref="B38:B42"/>
    <mergeCell ref="B43:B47"/>
  </mergeCells>
  <hyperlinks>
    <hyperlink ref="P1" location="Índice!A1" display="Índice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U95"/>
  <sheetViews>
    <sheetView zoomScale="70" zoomScaleNormal="70" zoomScaleSheetLayoutView="90" workbookViewId="0">
      <pane xSplit="3" ySplit="2" topLeftCell="K78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20" s="8" customFormat="1" ht="38.25" customHeight="1" thickBot="1">
      <c r="B1" s="22" t="s">
        <v>74</v>
      </c>
      <c r="O1" s="9"/>
      <c r="P1" s="87" t="s">
        <v>111</v>
      </c>
    </row>
    <row r="2" spans="2:20" ht="30" customHeight="1" thickTop="1">
      <c r="B2" s="33" t="s">
        <v>36</v>
      </c>
      <c r="C2" s="21" t="s">
        <v>23</v>
      </c>
      <c r="D2" s="51" t="s">
        <v>27</v>
      </c>
      <c r="E2" s="51" t="s">
        <v>28</v>
      </c>
      <c r="F2" s="51" t="s">
        <v>26</v>
      </c>
      <c r="G2" s="51" t="s">
        <v>22</v>
      </c>
      <c r="H2" s="51" t="s">
        <v>29</v>
      </c>
      <c r="I2" s="51" t="s">
        <v>30</v>
      </c>
      <c r="J2" s="51" t="s">
        <v>31</v>
      </c>
      <c r="K2" s="51" t="s">
        <v>32</v>
      </c>
      <c r="L2" s="51" t="s">
        <v>33</v>
      </c>
      <c r="M2" s="51" t="s">
        <v>24</v>
      </c>
      <c r="N2" s="51" t="s">
        <v>34</v>
      </c>
      <c r="O2" s="51" t="s">
        <v>35</v>
      </c>
      <c r="P2" s="51" t="s">
        <v>25</v>
      </c>
      <c r="R2" s="36" t="s">
        <v>96</v>
      </c>
    </row>
    <row r="3" spans="2:20" ht="18" customHeight="1" thickBot="1">
      <c r="B3" s="259" t="s">
        <v>0</v>
      </c>
      <c r="C3" s="29" t="s">
        <v>65</v>
      </c>
      <c r="D3" s="34">
        <v>22.750373750000001</v>
      </c>
      <c r="E3" s="34">
        <v>17.821377720000001</v>
      </c>
      <c r="F3" s="34">
        <v>52.423235770000005</v>
      </c>
      <c r="G3" s="34">
        <v>21.654300360000001</v>
      </c>
      <c r="H3" s="34">
        <v>37.244809769999996</v>
      </c>
      <c r="I3" s="34">
        <v>18.890649909999997</v>
      </c>
      <c r="J3" s="34">
        <v>65.796288779999998</v>
      </c>
      <c r="K3" s="34">
        <v>37.169542140000004</v>
      </c>
      <c r="L3" s="34">
        <v>37.720635779999995</v>
      </c>
      <c r="M3" s="34">
        <v>13.151520059999998</v>
      </c>
      <c r="N3" s="34">
        <v>38.27550080000001</v>
      </c>
      <c r="O3" s="34">
        <v>25.101500800000011</v>
      </c>
      <c r="P3" s="34">
        <f>SUM(D3:O3)</f>
        <v>387.99973564000004</v>
      </c>
      <c r="R3" s="57"/>
      <c r="T3" s="14">
        <f>+F3/$F$6</f>
        <v>0.52018383515907607</v>
      </c>
    </row>
    <row r="4" spans="2:20" ht="18" customHeight="1" thickTop="1" thickBot="1">
      <c r="B4" s="260"/>
      <c r="C4" s="29" t="s">
        <v>59</v>
      </c>
      <c r="D4" s="34">
        <v>39.417004489999997</v>
      </c>
      <c r="E4" s="34">
        <v>37.975033069999995</v>
      </c>
      <c r="F4" s="34">
        <v>43.676522730000002</v>
      </c>
      <c r="G4" s="34">
        <v>70.387708009999997</v>
      </c>
      <c r="H4" s="34">
        <v>39.026554400000002</v>
      </c>
      <c r="I4" s="34">
        <v>68.728902539999993</v>
      </c>
      <c r="J4" s="34">
        <v>91.16358790000001</v>
      </c>
      <c r="K4" s="34">
        <v>61.60064371</v>
      </c>
      <c r="L4" s="34">
        <v>53.095924750000002</v>
      </c>
      <c r="M4" s="34">
        <v>49.398523180000005</v>
      </c>
      <c r="N4" s="34">
        <v>40.466379099999997</v>
      </c>
      <c r="O4" s="34">
        <v>35.823999999999998</v>
      </c>
      <c r="P4" s="34">
        <f>SUM(D4:O4)</f>
        <v>630.76078387999996</v>
      </c>
      <c r="R4" s="57"/>
      <c r="T4" s="14">
        <f>+F4/$F$6</f>
        <v>0.4333921927250764</v>
      </c>
    </row>
    <row r="5" spans="2:20" ht="18" customHeight="1" thickTop="1" thickBot="1">
      <c r="B5" s="260"/>
      <c r="C5" s="29" t="s">
        <v>60</v>
      </c>
      <c r="D5" s="34">
        <v>4.2550519299999996</v>
      </c>
      <c r="E5" s="34">
        <v>5.7945525299999998</v>
      </c>
      <c r="F5" s="34">
        <v>4.6785283799999995</v>
      </c>
      <c r="G5" s="34">
        <v>4.4852640499999996</v>
      </c>
      <c r="H5" s="34">
        <v>1.34803483</v>
      </c>
      <c r="I5" s="34">
        <v>2.9318462799999998</v>
      </c>
      <c r="J5" s="34">
        <v>2.1732158100000003</v>
      </c>
      <c r="K5" s="34">
        <v>1.7796376700000001</v>
      </c>
      <c r="L5" s="34">
        <v>2.6882369700000002</v>
      </c>
      <c r="M5" s="34">
        <v>1.96117425</v>
      </c>
      <c r="N5" s="34">
        <v>1.643</v>
      </c>
      <c r="O5" s="34">
        <v>1.554</v>
      </c>
      <c r="P5" s="34">
        <f>SUM(D5:O5)</f>
        <v>35.292542699999998</v>
      </c>
      <c r="R5" s="57"/>
      <c r="T5" s="14">
        <f>+F5/$F$6</f>
        <v>4.6423972115847492E-2</v>
      </c>
    </row>
    <row r="6" spans="2:20" ht="18" customHeight="1" thickTop="1" thickBot="1">
      <c r="B6" s="260"/>
      <c r="C6" s="29" t="s">
        <v>139</v>
      </c>
      <c r="D6" s="52">
        <f>+D3+D4+D5</f>
        <v>66.422430169999998</v>
      </c>
      <c r="E6" s="52">
        <f t="shared" ref="E6:L6" si="0">+E3+E4+E5</f>
        <v>61.590963319999993</v>
      </c>
      <c r="F6" s="52">
        <f t="shared" si="0"/>
        <v>100.77828688000001</v>
      </c>
      <c r="G6" s="52">
        <f t="shared" si="0"/>
        <v>96.527272419999989</v>
      </c>
      <c r="H6" s="52">
        <f t="shared" si="0"/>
        <v>77.619399000000001</v>
      </c>
      <c r="I6" s="52">
        <f t="shared" si="0"/>
        <v>90.551398729999988</v>
      </c>
      <c r="J6" s="52">
        <f t="shared" si="0"/>
        <v>159.13309249</v>
      </c>
      <c r="K6" s="52">
        <f t="shared" si="0"/>
        <v>100.54982352</v>
      </c>
      <c r="L6" s="52">
        <f t="shared" si="0"/>
        <v>93.504797500000009</v>
      </c>
      <c r="M6" s="52">
        <f>+'Expo 2015'!M3+M4+M5</f>
        <v>54.605126750000004</v>
      </c>
      <c r="N6" s="52">
        <f>+'Expo 2015'!N3+N4+N5</f>
        <v>48.710379099999997</v>
      </c>
      <c r="O6" s="52">
        <f>+'Expo 2015'!O3+O4+O5</f>
        <v>43.561</v>
      </c>
      <c r="P6" s="34">
        <f>+P3+P4+P5</f>
        <v>1054.0530622199999</v>
      </c>
      <c r="R6" s="46">
        <f>+D6+E6+F6+G6</f>
        <v>325.31895278999997</v>
      </c>
    </row>
    <row r="7" spans="2:20" ht="18" customHeight="1" thickTop="1" thickBot="1">
      <c r="B7" s="260"/>
      <c r="C7" s="32" t="s">
        <v>67</v>
      </c>
      <c r="D7" s="35">
        <f>+(D6-'Impo 2014'!D6)/'Impo 2014'!D6</f>
        <v>-0.11205473164861857</v>
      </c>
      <c r="E7" s="35">
        <f>+(E6-'Impo 2014'!E6)/'Impo 2014'!E6</f>
        <v>-0.28960299460067623</v>
      </c>
      <c r="F7" s="35">
        <f>+(F6-'Impo 2014'!F6)/'Impo 2014'!F6</f>
        <v>0.43326952779106598</v>
      </c>
      <c r="G7" s="35">
        <f>+(G6-'Impo 2014'!G6)/'Impo 2014'!G6</f>
        <v>0.41796106806299294</v>
      </c>
      <c r="H7" s="35">
        <f>+(H6-'Impo 2014'!H6)/'Impo 2014'!H6</f>
        <v>0.13218290950121817</v>
      </c>
      <c r="I7" s="35">
        <f>+(I6-'Impo 2014'!I6)/'Impo 2014'!I6</f>
        <v>0.31589803741576833</v>
      </c>
      <c r="J7" s="35">
        <f>+(J6-'Impo 2014'!J6)/'Impo 2014'!J6</f>
        <v>1.6759483333463467</v>
      </c>
      <c r="K7" s="35">
        <f>+(K6-'Impo 2014'!K6)/'Impo 2014'!K6</f>
        <v>0.94601623207366925</v>
      </c>
      <c r="L7" s="35">
        <f>+(L6-'Impo 2014'!L6)/'Impo 2014'!L6</f>
        <v>0.76361594761845808</v>
      </c>
      <c r="M7" s="35">
        <f>+(M6-'Impo 2014'!M6)/'Impo 2014'!M6</f>
        <v>-0.21309305224968073</v>
      </c>
      <c r="N7" s="35">
        <f>+(N6-'Impo 2014'!N6)/'Impo 2014'!N6</f>
        <v>0.47749115210733389</v>
      </c>
      <c r="O7" s="35">
        <f>+(O6-'Impo 2014'!O6)/'Impo 2014'!O6</f>
        <v>-0.25478539360197511</v>
      </c>
      <c r="P7" s="35">
        <f>+(P6-'Impo 2014'!P6)/'Impo 2014'!P6</f>
        <v>0.38284717944452523</v>
      </c>
      <c r="R7" s="14"/>
    </row>
    <row r="8" spans="2:20" ht="18" customHeight="1" thickTop="1" thickBot="1">
      <c r="B8" s="260" t="s">
        <v>77</v>
      </c>
      <c r="C8" s="31" t="s">
        <v>65</v>
      </c>
      <c r="D8" s="34">
        <v>30.633551919999991</v>
      </c>
      <c r="E8" s="34">
        <v>27.934007570000006</v>
      </c>
      <c r="F8" s="34">
        <v>33.342527470000007</v>
      </c>
      <c r="G8" s="34">
        <v>29.563735849999997</v>
      </c>
      <c r="H8" s="34">
        <v>35.084006029999991</v>
      </c>
      <c r="I8" s="34">
        <v>25.247393819999999</v>
      </c>
      <c r="J8" s="34">
        <v>34.599814440000017</v>
      </c>
      <c r="K8" s="34">
        <v>16.043354579999985</v>
      </c>
      <c r="L8" s="34">
        <v>35.116267450000009</v>
      </c>
      <c r="M8" s="34">
        <v>38.271022439999989</v>
      </c>
      <c r="N8" s="34">
        <v>35.572990080000018</v>
      </c>
      <c r="O8" s="34">
        <v>36.320093323333339</v>
      </c>
      <c r="P8" s="34">
        <f>SUM(D8:O8)</f>
        <v>377.72876497333334</v>
      </c>
      <c r="R8" s="57"/>
    </row>
    <row r="9" spans="2:20" ht="18" customHeight="1" thickTop="1" thickBot="1">
      <c r="B9" s="260"/>
      <c r="C9" s="29" t="s">
        <v>59</v>
      </c>
      <c r="D9" s="34">
        <v>18.759772889999997</v>
      </c>
      <c r="E9" s="34">
        <v>12.792380289999999</v>
      </c>
      <c r="F9" s="34">
        <v>17.817573729999999</v>
      </c>
      <c r="G9" s="34">
        <v>13.189748279999996</v>
      </c>
      <c r="H9" s="34">
        <v>15.572954599999997</v>
      </c>
      <c r="I9" s="34">
        <v>14.69701478</v>
      </c>
      <c r="J9" s="34">
        <v>19.214439379999998</v>
      </c>
      <c r="K9" s="34">
        <v>14.874779529999998</v>
      </c>
      <c r="L9" s="34">
        <v>14.10147907</v>
      </c>
      <c r="M9" s="34">
        <v>15.732034820000004</v>
      </c>
      <c r="N9" s="34">
        <v>10.172286699999997</v>
      </c>
      <c r="O9" s="34">
        <v>13.335266863333336</v>
      </c>
      <c r="P9" s="34">
        <f>SUM(D9:O9)</f>
        <v>180.25973093333334</v>
      </c>
      <c r="R9" s="57"/>
    </row>
    <row r="10" spans="2:20" ht="18" customHeight="1" thickTop="1" thickBot="1">
      <c r="B10" s="260"/>
      <c r="C10" s="29" t="s">
        <v>60</v>
      </c>
      <c r="D10" s="34">
        <v>2.7433290900000005</v>
      </c>
      <c r="E10" s="34">
        <v>3.1109479699999998</v>
      </c>
      <c r="F10" s="34">
        <v>2.2907553700000003</v>
      </c>
      <c r="G10" s="34">
        <v>3.0141535100000008</v>
      </c>
      <c r="H10" s="34">
        <v>1.7816273100000006</v>
      </c>
      <c r="I10" s="34">
        <v>1.2313470200000001</v>
      </c>
      <c r="J10" s="34">
        <v>1.9281609500000001</v>
      </c>
      <c r="K10" s="34">
        <v>0.83951951000000002</v>
      </c>
      <c r="L10" s="34">
        <v>1.5522434000000001</v>
      </c>
      <c r="M10" s="34">
        <v>2.1619731400000002</v>
      </c>
      <c r="N10" s="34">
        <v>0.99357022000000006</v>
      </c>
      <c r="O10" s="34">
        <v>1.5692622533333334</v>
      </c>
      <c r="P10" s="34">
        <f>SUM(D10:O10)</f>
        <v>23.216889743333336</v>
      </c>
      <c r="R10" s="57"/>
    </row>
    <row r="11" spans="2:20" ht="18" customHeight="1" thickTop="1" thickBot="1">
      <c r="B11" s="260"/>
      <c r="C11" s="29" t="s">
        <v>139</v>
      </c>
      <c r="D11" s="34">
        <f>+D8+D9+D10</f>
        <v>52.136653899999992</v>
      </c>
      <c r="E11" s="34">
        <f t="shared" ref="E11:O11" si="1">+E8+E9+E10</f>
        <v>43.837335830000001</v>
      </c>
      <c r="F11" s="34">
        <f t="shared" si="1"/>
        <v>53.450856570000006</v>
      </c>
      <c r="G11" s="34">
        <f t="shared" si="1"/>
        <v>45.76763763999999</v>
      </c>
      <c r="H11" s="34">
        <f t="shared" si="1"/>
        <v>52.438587939999984</v>
      </c>
      <c r="I11" s="34">
        <f t="shared" si="1"/>
        <v>41.175755620000004</v>
      </c>
      <c r="J11" s="34">
        <f t="shared" si="1"/>
        <v>55.742414770000018</v>
      </c>
      <c r="K11" s="34">
        <f t="shared" si="1"/>
        <v>31.757653619999981</v>
      </c>
      <c r="L11" s="34">
        <f t="shared" si="1"/>
        <v>50.769989920000008</v>
      </c>
      <c r="M11" s="34">
        <f t="shared" si="1"/>
        <v>56.165030399999992</v>
      </c>
      <c r="N11" s="34">
        <f t="shared" si="1"/>
        <v>46.738847000000014</v>
      </c>
      <c r="O11" s="34">
        <f t="shared" si="1"/>
        <v>51.224622440000012</v>
      </c>
      <c r="P11" s="34">
        <f>+P8+P9+P10</f>
        <v>581.20538565000004</v>
      </c>
      <c r="R11" s="46">
        <f>+D11+E11+F11+G11</f>
        <v>195.19248393999999</v>
      </c>
    </row>
    <row r="12" spans="2:20" ht="18" customHeight="1" thickTop="1" thickBot="1">
      <c r="B12" s="260"/>
      <c r="C12" s="32" t="s">
        <v>67</v>
      </c>
      <c r="D12" s="35">
        <f>+(D11-'Impo 2014'!D11)/'Impo 2014'!D11</f>
        <v>3.377777027565506E-2</v>
      </c>
      <c r="E12" s="35">
        <f>+(E11-'Impo 2014'!E11)/'Impo 2014'!E11</f>
        <v>1.4636543919370748E-2</v>
      </c>
      <c r="F12" s="35">
        <f>+(F11-'Impo 2014'!F11)/'Impo 2014'!F11</f>
        <v>0.30963001038587362</v>
      </c>
      <c r="G12" s="35">
        <f>+(G11-'Impo 2014'!G11)/'Impo 2014'!G11</f>
        <v>0.38729357473179493</v>
      </c>
      <c r="H12" s="35">
        <f>+(H11-'Impo 2014'!H11)/'Impo 2014'!H11</f>
        <v>0.17603119229631076</v>
      </c>
      <c r="I12" s="35">
        <f>+(I11-'Impo 2014'!I11)/'Impo 2014'!I11</f>
        <v>-6.5984726520770032E-2</v>
      </c>
      <c r="J12" s="35">
        <f>+(J11-'Impo 2014'!J11)/'Impo 2014'!J11</f>
        <v>9.6398447472169982E-2</v>
      </c>
      <c r="K12" s="35">
        <f>+(K11-'Impo 2014'!K11)/'Impo 2014'!K11</f>
        <v>-0.39971578869414287</v>
      </c>
      <c r="L12" s="35">
        <f>+(L11-'Impo 2014'!L11)/'Impo 2014'!L11</f>
        <v>-7.9056551619167442E-2</v>
      </c>
      <c r="M12" s="35">
        <f>+(M11-'Impo 2014'!M11)/'Impo 2014'!M11</f>
        <v>-0.1604002497162195</v>
      </c>
      <c r="N12" s="35">
        <f>+(N11-'Impo 2014'!N11)/'Impo 2014'!N11</f>
        <v>-0.10510310902507876</v>
      </c>
      <c r="O12" s="35">
        <f>+(O11-'Impo 2014'!O11)/'Impo 2014'!O11</f>
        <v>-0.23309796555896548</v>
      </c>
      <c r="P12" s="35">
        <f>+(P11-'Impo 2014'!P11)/'Impo 2014'!P11</f>
        <v>-3.2787953625392503E-2</v>
      </c>
      <c r="R12" s="14"/>
    </row>
    <row r="13" spans="2:20" ht="18" customHeight="1" thickTop="1" thickBot="1">
      <c r="B13" s="260" t="s">
        <v>42</v>
      </c>
      <c r="C13" s="31" t="s">
        <v>65</v>
      </c>
      <c r="D13" s="34">
        <v>150.006</v>
      </c>
      <c r="E13" s="34">
        <v>84.638000000000005</v>
      </c>
      <c r="F13" s="34">
        <v>96.162000000000006</v>
      </c>
      <c r="G13" s="34">
        <v>219.12899999999999</v>
      </c>
      <c r="H13" s="34">
        <v>79.382999999999996</v>
      </c>
      <c r="I13" s="34">
        <v>101.35</v>
      </c>
      <c r="J13" s="34">
        <v>61.371000000000002</v>
      </c>
      <c r="K13" s="34">
        <v>59.442999999999998</v>
      </c>
      <c r="L13" s="34">
        <v>64.602999999999994</v>
      </c>
      <c r="M13" s="34">
        <v>69.471999999999994</v>
      </c>
      <c r="N13" s="34">
        <v>34.067</v>
      </c>
      <c r="O13" s="34">
        <v>37.753999999999998</v>
      </c>
      <c r="P13" s="34">
        <f>SUM(D13:O13)</f>
        <v>1057.3779999999999</v>
      </c>
      <c r="R13" s="57"/>
    </row>
    <row r="14" spans="2:20" ht="18" customHeight="1" thickTop="1" thickBot="1">
      <c r="B14" s="260"/>
      <c r="C14" s="29" t="s">
        <v>59</v>
      </c>
      <c r="D14" s="34">
        <v>194.93799999999999</v>
      </c>
      <c r="E14" s="34">
        <v>200.77500000000001</v>
      </c>
      <c r="F14" s="34">
        <v>169.72200000000001</v>
      </c>
      <c r="G14" s="34">
        <v>175.048</v>
      </c>
      <c r="H14" s="34">
        <v>197.18700000000001</v>
      </c>
      <c r="I14" s="34">
        <v>197.292</v>
      </c>
      <c r="J14" s="34">
        <v>176.42599999999999</v>
      </c>
      <c r="K14" s="34">
        <v>112.517</v>
      </c>
      <c r="L14" s="34">
        <v>101.321</v>
      </c>
      <c r="M14" s="34">
        <v>101.999</v>
      </c>
      <c r="N14" s="34">
        <v>79.677000000000007</v>
      </c>
      <c r="O14" s="34">
        <v>60.365000000000002</v>
      </c>
      <c r="P14" s="34">
        <f>SUM(D14:O14)</f>
        <v>1767.2669999999998</v>
      </c>
      <c r="R14" s="57"/>
    </row>
    <row r="15" spans="2:20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0</v>
      </c>
      <c r="R15" s="57"/>
    </row>
    <row r="16" spans="2:20" ht="18" customHeight="1" thickTop="1" thickBot="1">
      <c r="B16" s="260"/>
      <c r="C16" s="29" t="s">
        <v>139</v>
      </c>
      <c r="D16" s="52">
        <f>+D13+D14+D15</f>
        <v>344.94399999999996</v>
      </c>
      <c r="E16" s="52">
        <f t="shared" ref="E16:P16" si="2">+E13+E14+E15</f>
        <v>285.41300000000001</v>
      </c>
      <c r="F16" s="52">
        <f t="shared" si="2"/>
        <v>265.88400000000001</v>
      </c>
      <c r="G16" s="52">
        <f t="shared" si="2"/>
        <v>394.17700000000002</v>
      </c>
      <c r="H16" s="52">
        <f t="shared" si="2"/>
        <v>276.57</v>
      </c>
      <c r="I16" s="52">
        <f t="shared" si="2"/>
        <v>298.642</v>
      </c>
      <c r="J16" s="52">
        <f t="shared" si="2"/>
        <v>237.797</v>
      </c>
      <c r="K16" s="52">
        <f t="shared" si="2"/>
        <v>171.95999999999998</v>
      </c>
      <c r="L16" s="52">
        <f t="shared" si="2"/>
        <v>165.92399999999998</v>
      </c>
      <c r="M16" s="52">
        <f t="shared" si="2"/>
        <v>171.471</v>
      </c>
      <c r="N16" s="52">
        <f t="shared" si="2"/>
        <v>113.744</v>
      </c>
      <c r="O16" s="52">
        <f t="shared" si="2"/>
        <v>98.119</v>
      </c>
      <c r="P16" s="34">
        <f t="shared" si="2"/>
        <v>2824.6449999999995</v>
      </c>
      <c r="R16" s="46">
        <f>+D16+E16+F16+G16</f>
        <v>1290.4180000000001</v>
      </c>
    </row>
    <row r="17" spans="2:18" ht="18" customHeight="1" thickTop="1" thickBot="1">
      <c r="B17" s="260"/>
      <c r="C17" s="32" t="s">
        <v>67</v>
      </c>
      <c r="D17" s="35">
        <f>+(D16-'Impo 2014'!D16)/'Impo 2014'!D16</f>
        <v>0.13908053682188506</v>
      </c>
      <c r="E17" s="35">
        <f>+(E16-'Impo 2014'!E16)/'Impo 2014'!E16</f>
        <v>0.21149723881198873</v>
      </c>
      <c r="F17" s="35">
        <f>+(F16-'Impo 2014'!F16)/'Impo 2014'!F16</f>
        <v>-0.14700363387411025</v>
      </c>
      <c r="G17" s="35">
        <f>+(G16-'Impo 2014'!G16)/'Impo 2014'!G16</f>
        <v>7.9514644681478203E-2</v>
      </c>
      <c r="H17" s="35">
        <f>+(H16-'Impo 2014'!H16)/'Impo 2014'!H16</f>
        <v>-0.33495228859180004</v>
      </c>
      <c r="I17" s="35">
        <f>+(I16-'Impo 2014'!I16)/'Impo 2014'!I16</f>
        <v>-7.4234638284654778E-2</v>
      </c>
      <c r="J17" s="35">
        <f>+(J16-'Impo 2014'!J16)/'Impo 2014'!J16</f>
        <v>-0.41662616771301569</v>
      </c>
      <c r="K17" s="35">
        <f>+(K16-'Impo 2014'!K16)/'Impo 2014'!K16</f>
        <v>-0.53616627236124448</v>
      </c>
      <c r="L17" s="35">
        <f>+(L16-'Impo 2014'!L16)/'Impo 2014'!L16</f>
        <v>-0.55844383946605791</v>
      </c>
      <c r="M17" s="35">
        <f>+(M16-'Impo 2014'!M16)/'Impo 2014'!M16</f>
        <v>-0.47068863171015635</v>
      </c>
      <c r="N17" s="35">
        <f>+(N16-'Impo 2014'!N16)/'Impo 2014'!N16</f>
        <v>-0.59764182679892774</v>
      </c>
      <c r="O17" s="35">
        <f>+(O16-'Impo 2014'!O16)/'Impo 2014'!O16</f>
        <v>-0.52562001930995672</v>
      </c>
      <c r="P17" s="35">
        <f>+(P16-'Impo 2014'!P16)/'Impo 2014'!P16</f>
        <v>-0.27967139911056688</v>
      </c>
      <c r="R17" s="14"/>
    </row>
    <row r="18" spans="2:18" ht="18" customHeight="1" thickTop="1" thickBot="1">
      <c r="B18" s="260" t="s">
        <v>1</v>
      </c>
      <c r="C18" s="31" t="s">
        <v>65</v>
      </c>
      <c r="D18" s="34">
        <v>53.970307010000028</v>
      </c>
      <c r="E18" s="34">
        <v>12.483685149999992</v>
      </c>
      <c r="F18" s="34">
        <v>50.623030690000007</v>
      </c>
      <c r="G18" s="34">
        <v>25.472816399999999</v>
      </c>
      <c r="H18" s="34">
        <v>49.779341860000031</v>
      </c>
      <c r="I18" s="34">
        <v>16.018169040000004</v>
      </c>
      <c r="J18" s="34">
        <v>56.084695820000022</v>
      </c>
      <c r="K18" s="34">
        <v>25.241301619999998</v>
      </c>
      <c r="L18" s="34">
        <v>34.232386840000011</v>
      </c>
      <c r="M18" s="34">
        <v>32.537459020000014</v>
      </c>
      <c r="N18" s="34">
        <v>49.266828030000021</v>
      </c>
      <c r="O18" s="34">
        <v>46.980113920000022</v>
      </c>
      <c r="P18" s="34">
        <f>SUM(D18:O18)</f>
        <v>452.69013540000009</v>
      </c>
      <c r="R18" s="57"/>
    </row>
    <row r="19" spans="2:18" ht="18" customHeight="1" thickTop="1" thickBot="1">
      <c r="B19" s="260"/>
      <c r="C19" s="29" t="s">
        <v>59</v>
      </c>
      <c r="D19" s="34">
        <v>121.63539021</v>
      </c>
      <c r="E19" s="34">
        <v>92.409656229999996</v>
      </c>
      <c r="F19" s="34">
        <v>97.285590960000022</v>
      </c>
      <c r="G19" s="34">
        <v>150.68911646000009</v>
      </c>
      <c r="H19" s="34">
        <v>105.57820469999992</v>
      </c>
      <c r="I19" s="34">
        <v>86.704942180000018</v>
      </c>
      <c r="J19" s="34">
        <v>232.92153852000007</v>
      </c>
      <c r="K19" s="34">
        <v>88.56304630999999</v>
      </c>
      <c r="L19" s="34">
        <v>119.29461370999999</v>
      </c>
      <c r="M19" s="34">
        <v>103.43048623</v>
      </c>
      <c r="N19" s="34">
        <v>88.205182679999993</v>
      </c>
      <c r="O19" s="34">
        <v>82.943018790000039</v>
      </c>
      <c r="P19" s="34">
        <f>SUM(D19:O19)</f>
        <v>1369.66078698</v>
      </c>
      <c r="R19" s="57"/>
    </row>
    <row r="20" spans="2:18" ht="18" customHeight="1" thickTop="1" thickBot="1">
      <c r="B20" s="260"/>
      <c r="C20" s="29" t="s">
        <v>60</v>
      </c>
      <c r="D20" s="34">
        <v>2.2090015799999994</v>
      </c>
      <c r="E20" s="34">
        <v>3.537438449999998</v>
      </c>
      <c r="F20" s="34">
        <v>1.6940799400000002</v>
      </c>
      <c r="G20" s="34">
        <v>3.1845227900000017</v>
      </c>
      <c r="H20" s="34">
        <v>2.0367942800000014</v>
      </c>
      <c r="I20" s="34">
        <v>3.2573660000000029</v>
      </c>
      <c r="J20" s="34">
        <v>3.0596752000000005</v>
      </c>
      <c r="K20" s="34">
        <v>2.4940910900000008</v>
      </c>
      <c r="L20" s="34">
        <v>2.2928662900000001</v>
      </c>
      <c r="M20" s="34">
        <v>2.9687535500000006</v>
      </c>
      <c r="N20" s="34">
        <v>1.9078380500000003</v>
      </c>
      <c r="O20" s="34">
        <v>2.8439619300000012</v>
      </c>
      <c r="P20" s="34">
        <f>SUM(D20:O20)</f>
        <v>31.486389150000008</v>
      </c>
      <c r="R20" s="57"/>
    </row>
    <row r="21" spans="2:18" ht="18" customHeight="1" thickTop="1" thickBot="1">
      <c r="B21" s="260"/>
      <c r="C21" s="29" t="s">
        <v>139</v>
      </c>
      <c r="D21" s="34">
        <f>+D18+D19+D20</f>
        <v>177.81469880000003</v>
      </c>
      <c r="E21" s="34">
        <f t="shared" ref="E21:P21" si="3">+E18+E19+E20</f>
        <v>108.43077982999998</v>
      </c>
      <c r="F21" s="52">
        <f t="shared" si="3"/>
        <v>149.60270159000004</v>
      </c>
      <c r="G21" s="52">
        <f t="shared" si="3"/>
        <v>179.34645565000008</v>
      </c>
      <c r="H21" s="52">
        <f t="shared" si="3"/>
        <v>157.39434083999996</v>
      </c>
      <c r="I21" s="52">
        <f t="shared" si="3"/>
        <v>105.98047722000003</v>
      </c>
      <c r="J21" s="52">
        <f t="shared" si="3"/>
        <v>292.06590954000012</v>
      </c>
      <c r="K21" s="52">
        <f t="shared" si="3"/>
        <v>116.29843901999999</v>
      </c>
      <c r="L21" s="52">
        <f t="shared" si="3"/>
        <v>155.81986684</v>
      </c>
      <c r="M21" s="52">
        <f t="shared" si="3"/>
        <v>138.93669880000002</v>
      </c>
      <c r="N21" s="52">
        <f t="shared" si="3"/>
        <v>139.37984876000002</v>
      </c>
      <c r="O21" s="52">
        <f t="shared" si="3"/>
        <v>132.76709464000007</v>
      </c>
      <c r="P21" s="34">
        <f t="shared" si="3"/>
        <v>1853.8373115300001</v>
      </c>
      <c r="R21" s="46">
        <f>+D21+E21+F21+G21</f>
        <v>615.19463587000007</v>
      </c>
    </row>
    <row r="22" spans="2:18" ht="18" customHeight="1" thickTop="1" thickBot="1">
      <c r="B22" s="260"/>
      <c r="C22" s="32" t="s">
        <v>67</v>
      </c>
      <c r="D22" s="35">
        <f>+(D21-'Impo 2014'!D21)/'Impo 2014'!D21</f>
        <v>0.13391492783751593</v>
      </c>
      <c r="E22" s="35">
        <f>+(E21-'Impo 2014'!E21)/'Impo 2014'!E21</f>
        <v>0.33152860307073378</v>
      </c>
      <c r="F22" s="35">
        <f>+(F21-'Impo 2014'!F21)/'Impo 2014'!F21</f>
        <v>0.27639372451823196</v>
      </c>
      <c r="G22" s="35">
        <f>+(G21-'Impo 2014'!G21)/'Impo 2014'!G21</f>
        <v>3.4772534110404534E-2</v>
      </c>
      <c r="H22" s="35">
        <f>+(H21-'Impo 2014'!H21)/'Impo 2014'!H21</f>
        <v>0.18225775870164015</v>
      </c>
      <c r="I22" s="35">
        <f>+(I21-'Impo 2014'!I21)/'Impo 2014'!I21</f>
        <v>-2.854813885320311E-2</v>
      </c>
      <c r="J22" s="35">
        <f>+(J21-'Impo 2014'!J21)/'Impo 2014'!J21</f>
        <v>1.0446699343998878</v>
      </c>
      <c r="K22" s="35">
        <f>+(K21-'Impo 2014'!K21)/'Impo 2014'!K21</f>
        <v>-0.10106368905324037</v>
      </c>
      <c r="L22" s="35">
        <f>+(L21-'Impo 2014'!L21)/'Impo 2014'!L21</f>
        <v>3.7154472426899281E-2</v>
      </c>
      <c r="M22" s="35">
        <f>+(M21-'Impo 2014'!M21)/'Impo 2014'!M21</f>
        <v>0.45324174471762507</v>
      </c>
      <c r="N22" s="35">
        <f>+(N21-'Impo 2014'!N21)/'Impo 2014'!N21</f>
        <v>-0.13905225770253515</v>
      </c>
      <c r="O22" s="35">
        <f>+(O21-'Impo 2014'!O21)/'Impo 2014'!O21</f>
        <v>0.20976229869379548</v>
      </c>
      <c r="P22" s="35">
        <f>+(P21-'Impo 2014'!P21)/'Impo 2014'!P21</f>
        <v>0.18782689454145901</v>
      </c>
      <c r="R22" s="14"/>
    </row>
    <row r="23" spans="2:18" ht="18" customHeight="1" thickTop="1" thickBot="1">
      <c r="B23" s="260" t="s">
        <v>2</v>
      </c>
      <c r="C23" s="31" t="s">
        <v>65</v>
      </c>
      <c r="D23" s="34">
        <v>105.23698415000004</v>
      </c>
      <c r="E23" s="34">
        <v>79.351405540000002</v>
      </c>
      <c r="F23" s="34">
        <v>50.018355809999996</v>
      </c>
      <c r="G23" s="34">
        <v>85.95654875999999</v>
      </c>
      <c r="H23" s="34">
        <v>74.989206280000019</v>
      </c>
      <c r="I23" s="34">
        <v>94.126650769999998</v>
      </c>
      <c r="J23" s="34">
        <v>117.74304546999997</v>
      </c>
      <c r="K23" s="34">
        <v>99.034824950000001</v>
      </c>
      <c r="L23" s="34">
        <v>134.66932467999999</v>
      </c>
      <c r="M23" s="34">
        <v>140.46954170999999</v>
      </c>
      <c r="N23" s="34">
        <v>94.479838729999983</v>
      </c>
      <c r="O23" s="34">
        <v>64.705052649999999</v>
      </c>
      <c r="P23" s="34">
        <f>SUM(D23:O23)</f>
        <v>1140.7807794999999</v>
      </c>
      <c r="R23" s="57"/>
    </row>
    <row r="24" spans="2:18" ht="18" customHeight="1" thickTop="1" thickBot="1">
      <c r="B24" s="260"/>
      <c r="C24" s="29" t="s">
        <v>59</v>
      </c>
      <c r="D24" s="34">
        <v>122.45564092000001</v>
      </c>
      <c r="E24" s="34">
        <v>107.74729263</v>
      </c>
      <c r="F24" s="34">
        <v>109.61193866000002</v>
      </c>
      <c r="G24" s="34">
        <v>77.596511970000009</v>
      </c>
      <c r="H24" s="34">
        <v>120.02182522999999</v>
      </c>
      <c r="I24" s="34">
        <v>124.04087192</v>
      </c>
      <c r="J24" s="34">
        <v>114.97184611999998</v>
      </c>
      <c r="K24" s="34">
        <v>109.07539738999999</v>
      </c>
      <c r="L24" s="34">
        <v>108.26485433000001</v>
      </c>
      <c r="M24" s="34">
        <v>206.34596200000007</v>
      </c>
      <c r="N24" s="34">
        <v>87.998869970000001</v>
      </c>
      <c r="O24" s="34">
        <v>99.734042909999999</v>
      </c>
      <c r="P24" s="34">
        <f>SUM(D24:O24)</f>
        <v>1387.86505405</v>
      </c>
      <c r="R24" s="57"/>
    </row>
    <row r="25" spans="2:18" ht="18" customHeight="1" thickTop="1" thickBot="1">
      <c r="B25" s="260"/>
      <c r="C25" s="29" t="s">
        <v>60</v>
      </c>
      <c r="D25" s="34">
        <v>10.443792350000001</v>
      </c>
      <c r="E25" s="34">
        <v>15.04343019</v>
      </c>
      <c r="F25" s="34">
        <v>11.37248574</v>
      </c>
      <c r="G25" s="34">
        <v>21.666249419999975</v>
      </c>
      <c r="H25" s="34">
        <v>10.983496799999996</v>
      </c>
      <c r="I25" s="34">
        <v>5.6132691199999991</v>
      </c>
      <c r="J25" s="34">
        <v>9.4163853300000078</v>
      </c>
      <c r="K25" s="34">
        <v>12.266534089999997</v>
      </c>
      <c r="L25" s="34">
        <v>7.4928765099999985</v>
      </c>
      <c r="M25" s="34">
        <v>14.294612140000005</v>
      </c>
      <c r="N25" s="34">
        <v>8.5370702000000005</v>
      </c>
      <c r="O25" s="34">
        <v>5.3604033899999983</v>
      </c>
      <c r="P25" s="34">
        <f>SUM(D25:O25)</f>
        <v>132.49060527999998</v>
      </c>
      <c r="R25" s="57"/>
    </row>
    <row r="26" spans="2:18" ht="18" customHeight="1" thickTop="1" thickBot="1">
      <c r="B26" s="260"/>
      <c r="C26" s="29" t="s">
        <v>139</v>
      </c>
      <c r="D26" s="34">
        <f>+D23+D24+D25</f>
        <v>238.13641742000004</v>
      </c>
      <c r="E26" s="34">
        <f t="shared" ref="E26:P26" si="4">+E23+E24+E25</f>
        <v>202.14212836000002</v>
      </c>
      <c r="F26" s="34">
        <f t="shared" si="4"/>
        <v>171.00278021000003</v>
      </c>
      <c r="G26" s="34">
        <f t="shared" si="4"/>
        <v>185.21931014999998</v>
      </c>
      <c r="H26" s="34">
        <f t="shared" si="4"/>
        <v>205.99452830999999</v>
      </c>
      <c r="I26" s="52">
        <f t="shared" si="4"/>
        <v>223.78079181000001</v>
      </c>
      <c r="J26" s="52">
        <f t="shared" si="4"/>
        <v>242.13127691999995</v>
      </c>
      <c r="K26" s="52">
        <f t="shared" si="4"/>
        <v>220.37675643</v>
      </c>
      <c r="L26" s="52">
        <f t="shared" si="4"/>
        <v>250.42705551999998</v>
      </c>
      <c r="M26" s="52">
        <f>+M23+M24+M25</f>
        <v>361.11011585000006</v>
      </c>
      <c r="N26" s="52">
        <f t="shared" si="4"/>
        <v>191.01577889999996</v>
      </c>
      <c r="O26" s="52">
        <f t="shared" si="4"/>
        <v>169.79949894999999</v>
      </c>
      <c r="P26" s="34">
        <f t="shared" si="4"/>
        <v>2661.1364388300003</v>
      </c>
      <c r="R26" s="46">
        <f>+D26+E26+F26+G26</f>
        <v>796.5006361400001</v>
      </c>
    </row>
    <row r="27" spans="2:18" ht="18" customHeight="1" thickTop="1" thickBot="1">
      <c r="B27" s="260"/>
      <c r="C27" s="32" t="s">
        <v>67</v>
      </c>
      <c r="D27" s="35">
        <f>+(D26-'Impo 2014'!D26)/'Impo 2014'!D26</f>
        <v>6.9161083483304908E-2</v>
      </c>
      <c r="E27" s="35">
        <f>+(E26-'Impo 2014'!E26)/'Impo 2014'!E26</f>
        <v>8.3949137843285185E-2</v>
      </c>
      <c r="F27" s="35">
        <f>+(F26-'Impo 2014'!F26)/'Impo 2014'!F26</f>
        <v>-0.15267185388936508</v>
      </c>
      <c r="G27" s="35">
        <f>+(G26-'Impo 2014'!G26)/'Impo 2014'!G26</f>
        <v>-0.34067131873599388</v>
      </c>
      <c r="H27" s="35">
        <f>+(H26-'Impo 2014'!H26)/'Impo 2014'!H26</f>
        <v>-0.13494917733311473</v>
      </c>
      <c r="I27" s="35">
        <f>+(I26-'Impo 2014'!I26)/'Impo 2014'!I26</f>
        <v>3.2894616848168932E-2</v>
      </c>
      <c r="J27" s="35">
        <f>+(J26-'Impo 2014'!J26)/'Impo 2014'!J26</f>
        <v>-8.3854398300178726E-2</v>
      </c>
      <c r="K27" s="35">
        <f>+(K26-'Impo 2014'!K26)/'Impo 2014'!K26</f>
        <v>-2.3649884940874888E-2</v>
      </c>
      <c r="L27" s="35">
        <f>+(L26-'Impo 2014'!L26)/'Impo 2014'!L26</f>
        <v>0.40092034952567779</v>
      </c>
      <c r="M27" s="35">
        <f>+(M26-'Impo 2014'!M26)/'Impo 2014'!M26</f>
        <v>0.18132800642462243</v>
      </c>
      <c r="N27" s="35">
        <f>+(N26-'Impo 2014'!N26)/'Impo 2014'!N26</f>
        <v>0.12597204876997831</v>
      </c>
      <c r="O27" s="35">
        <f>+(O26-'Impo 2014'!O26)/'Impo 2014'!O26</f>
        <v>1.7370400888614291E-2</v>
      </c>
      <c r="P27" s="35">
        <f>+(P26-'Impo 2014'!P26)/'Impo 2014'!P26</f>
        <v>5.9996914653481261E-3</v>
      </c>
      <c r="R27" s="14"/>
    </row>
    <row r="28" spans="2:18" s="3" customFormat="1" ht="18" customHeight="1" thickTop="1" thickBot="1">
      <c r="B28" s="260" t="s">
        <v>5</v>
      </c>
      <c r="C28" s="31" t="s">
        <v>65</v>
      </c>
      <c r="D28" s="34">
        <v>6.9012799999999999</v>
      </c>
      <c r="E28" s="34">
        <v>11.684353</v>
      </c>
      <c r="F28" s="34">
        <v>22.955828</v>
      </c>
      <c r="G28" s="34">
        <v>8.2454870000000007</v>
      </c>
      <c r="H28" s="34">
        <v>14.193724</v>
      </c>
      <c r="I28" s="34">
        <v>8.7303650000000008</v>
      </c>
      <c r="J28" s="34">
        <v>17.040113999999999</v>
      </c>
      <c r="K28" s="34">
        <v>6.6541090000000001</v>
      </c>
      <c r="L28" s="34">
        <v>21.115362999999999</v>
      </c>
      <c r="M28" s="34">
        <v>5.6737859999999998</v>
      </c>
      <c r="N28" s="34">
        <v>11.783485000000001</v>
      </c>
      <c r="O28" s="34">
        <v>15.970321999999999</v>
      </c>
      <c r="P28" s="34">
        <f>SUM(D28:O28)</f>
        <v>150.94821600000003</v>
      </c>
      <c r="R28" s="57"/>
    </row>
    <row r="29" spans="2:18" s="3" customFormat="1" ht="18" customHeight="1" thickTop="1" thickBot="1">
      <c r="B29" s="260"/>
      <c r="C29" s="29" t="s">
        <v>59</v>
      </c>
      <c r="D29" s="34">
        <v>40.118419000000003</v>
      </c>
      <c r="E29" s="34">
        <v>29.665790999999999</v>
      </c>
      <c r="F29" s="34">
        <v>31.221125000000001</v>
      </c>
      <c r="G29" s="34">
        <v>37.445078000000002</v>
      </c>
      <c r="H29" s="34">
        <v>27.032826</v>
      </c>
      <c r="I29" s="34">
        <v>21.387658999999999</v>
      </c>
      <c r="J29" s="34">
        <v>10.527797</v>
      </c>
      <c r="K29" s="34">
        <v>18.918191</v>
      </c>
      <c r="L29" s="34">
        <v>21.330869</v>
      </c>
      <c r="M29" s="34">
        <v>29.897939000000001</v>
      </c>
      <c r="N29" s="34">
        <v>13.699095</v>
      </c>
      <c r="O29" s="34">
        <v>42.199240000000003</v>
      </c>
      <c r="P29" s="34">
        <f>SUM(D29:O29)</f>
        <v>323.444029</v>
      </c>
      <c r="R29" s="57"/>
    </row>
    <row r="30" spans="2:18" s="3" customFormat="1" ht="18" customHeight="1" thickTop="1" thickBot="1">
      <c r="B30" s="260"/>
      <c r="C30" s="29" t="s">
        <v>60</v>
      </c>
      <c r="D30" s="34">
        <v>0.441079</v>
      </c>
      <c r="E30" s="34">
        <v>0.43280800000000003</v>
      </c>
      <c r="F30" s="34">
        <v>0.32439299999999999</v>
      </c>
      <c r="G30" s="34">
        <v>0.40806100000000001</v>
      </c>
      <c r="H30" s="34">
        <v>0.438608</v>
      </c>
      <c r="I30" s="34">
        <v>0.412491</v>
      </c>
      <c r="J30" s="34">
        <v>0.48671399999999998</v>
      </c>
      <c r="K30" s="34">
        <v>0.59241200000000005</v>
      </c>
      <c r="L30" s="34">
        <v>0.360209</v>
      </c>
      <c r="M30" s="34">
        <v>0.29488500000000001</v>
      </c>
      <c r="N30" s="34">
        <v>0.19157299999999999</v>
      </c>
      <c r="O30" s="34">
        <v>0.23502899999999999</v>
      </c>
      <c r="P30" s="34">
        <f>SUM(D30:O30)</f>
        <v>4.6182619999999996</v>
      </c>
      <c r="R30" s="57"/>
    </row>
    <row r="31" spans="2:18" s="3" customFormat="1" ht="18" customHeight="1" thickTop="1" thickBot="1">
      <c r="B31" s="260"/>
      <c r="C31" s="29" t="s">
        <v>139</v>
      </c>
      <c r="D31" s="34">
        <f t="shared" ref="D31:P31" si="5">+D28+D29+D30</f>
        <v>47.460778000000005</v>
      </c>
      <c r="E31" s="34">
        <f t="shared" si="5"/>
        <v>41.782952000000002</v>
      </c>
      <c r="F31" s="34">
        <f t="shared" si="5"/>
        <v>54.501345999999998</v>
      </c>
      <c r="G31" s="34">
        <f t="shared" si="5"/>
        <v>46.09862600000001</v>
      </c>
      <c r="H31" s="52">
        <f t="shared" si="5"/>
        <v>41.665158000000005</v>
      </c>
      <c r="I31" s="52">
        <f t="shared" si="5"/>
        <v>30.530514999999998</v>
      </c>
      <c r="J31" s="52">
        <f t="shared" si="5"/>
        <v>28.054624999999998</v>
      </c>
      <c r="K31" s="52">
        <f t="shared" si="5"/>
        <v>26.164711999999998</v>
      </c>
      <c r="L31" s="52">
        <f t="shared" si="5"/>
        <v>42.806440999999992</v>
      </c>
      <c r="M31" s="52">
        <f t="shared" si="5"/>
        <v>35.866610000000001</v>
      </c>
      <c r="N31" s="52">
        <f t="shared" si="5"/>
        <v>25.674152999999997</v>
      </c>
      <c r="O31" s="52">
        <f t="shared" si="5"/>
        <v>58.404590999999996</v>
      </c>
      <c r="P31" s="34">
        <f t="shared" si="5"/>
        <v>479.01050700000002</v>
      </c>
      <c r="R31" s="46">
        <f>+D31+E31+F31+G31</f>
        <v>189.84370200000001</v>
      </c>
    </row>
    <row r="32" spans="2:18" s="3" customFormat="1" ht="18" customHeight="1" thickTop="1" thickBot="1">
      <c r="B32" s="260"/>
      <c r="C32" s="32" t="s">
        <v>67</v>
      </c>
      <c r="D32" s="35">
        <f>+(D31-'Impo 2014'!D31)/'Impo 2014'!D31</f>
        <v>0.14690265118900275</v>
      </c>
      <c r="E32" s="35">
        <f>+(E31-'Impo 2014'!E31)/'Impo 2014'!E31</f>
        <v>0.24022584525823593</v>
      </c>
      <c r="F32" s="35">
        <f>+(F31-'Impo 2014'!F31)/'Impo 2014'!F31</f>
        <v>-0.12104148431751757</v>
      </c>
      <c r="G32" s="35">
        <f>+(G31-'Impo 2014'!G31)/'Impo 2014'!G31</f>
        <v>4.774438024729565E-4</v>
      </c>
      <c r="H32" s="35">
        <f>+(H31-'Impo 2014'!H31)/'Impo 2014'!H31</f>
        <v>2.1469892590406658E-3</v>
      </c>
      <c r="I32" s="35">
        <f>+(I31-'Impo 2014'!I31)/'Impo 2014'!I31</f>
        <v>-0.14883639562130691</v>
      </c>
      <c r="J32" s="35">
        <f>+(J31-'Impo 2014'!J31)/'Impo 2014'!J31</f>
        <v>-5.3181406994948249E-2</v>
      </c>
      <c r="K32" s="35">
        <f>+(K31-'Impo 2014'!K31)/'Impo 2014'!K31</f>
        <v>-0.11048974461408625</v>
      </c>
      <c r="L32" s="35">
        <f>+(L31-'Impo 2014'!L31)/'Impo 2014'!L31</f>
        <v>-1.5925063210404506E-2</v>
      </c>
      <c r="M32" s="35">
        <f>+(M31-'Impo 2014'!M31)/'Impo 2014'!M31</f>
        <v>-0.1259035062722168</v>
      </c>
      <c r="N32" s="35">
        <f>+(N31-'Impo 2014'!N31)/'Impo 2014'!N31</f>
        <v>-0.21593712362595124</v>
      </c>
      <c r="O32" s="35">
        <f>+(O31-'Impo 2014'!O31)/'Impo 2014'!O31</f>
        <v>0.42328035068820663</v>
      </c>
      <c r="P32" s="35">
        <f>+(P31-'Impo 2014'!P31)/'Impo 2014'!P31</f>
        <v>2.203745389249894E-3</v>
      </c>
      <c r="R32" s="14"/>
    </row>
    <row r="33" spans="2:20" s="3" customFormat="1" ht="18" customHeight="1" thickTop="1" thickBot="1">
      <c r="B33" s="260" t="s">
        <v>4</v>
      </c>
      <c r="C33" s="31" t="s">
        <v>65</v>
      </c>
      <c r="D33" s="34">
        <v>26.842962410000005</v>
      </c>
      <c r="E33" s="34">
        <v>6.4333294400000005</v>
      </c>
      <c r="F33" s="34">
        <v>6.5301841100000013</v>
      </c>
      <c r="G33" s="34">
        <v>20.527096439999987</v>
      </c>
      <c r="H33" s="34">
        <v>19.783970179999997</v>
      </c>
      <c r="I33" s="34">
        <v>10.454177270000001</v>
      </c>
      <c r="J33" s="34">
        <v>27.634099049999989</v>
      </c>
      <c r="K33" s="34">
        <v>10.849584639999998</v>
      </c>
      <c r="L33" s="34">
        <v>10.627271459999999</v>
      </c>
      <c r="M33" s="34">
        <v>22.313777590000001</v>
      </c>
      <c r="N33" s="34">
        <v>19.341604050000011</v>
      </c>
      <c r="O33" s="34">
        <v>17.215625280000001</v>
      </c>
      <c r="P33" s="34">
        <f>SUM(D33:O33)</f>
        <v>198.55368192</v>
      </c>
      <c r="R33" s="57"/>
    </row>
    <row r="34" spans="2:20" s="3" customFormat="1" ht="18" customHeight="1" thickTop="1" thickBot="1">
      <c r="B34" s="260"/>
      <c r="C34" s="29" t="s">
        <v>59</v>
      </c>
      <c r="D34" s="34">
        <v>47.031489539999967</v>
      </c>
      <c r="E34" s="34">
        <v>70.685967070000018</v>
      </c>
      <c r="F34" s="34">
        <v>102.56062412999998</v>
      </c>
      <c r="G34" s="34">
        <v>44.600794000000015</v>
      </c>
      <c r="H34" s="34">
        <v>86.73019946999996</v>
      </c>
      <c r="I34" s="34">
        <v>43.940751670000004</v>
      </c>
      <c r="J34" s="34">
        <v>56.362047689999962</v>
      </c>
      <c r="K34" s="34">
        <v>55.462908269999993</v>
      </c>
      <c r="L34" s="34">
        <v>53.876671600000009</v>
      </c>
      <c r="M34" s="34">
        <v>40.020588239999967</v>
      </c>
      <c r="N34" s="34">
        <v>52.182913790000015</v>
      </c>
      <c r="O34" s="34">
        <v>46.931448230000015</v>
      </c>
      <c r="P34" s="34">
        <f>SUM(D34:O34)</f>
        <v>700.38640369999985</v>
      </c>
      <c r="R34" s="57"/>
    </row>
    <row r="35" spans="2:20" s="3" customFormat="1" ht="18" customHeight="1" thickTop="1" thickBot="1">
      <c r="B35" s="260"/>
      <c r="C35" s="29" t="s">
        <v>60</v>
      </c>
      <c r="D35" s="34">
        <v>12.404278940000003</v>
      </c>
      <c r="E35" s="34">
        <v>0.99133676000000059</v>
      </c>
      <c r="F35" s="34">
        <v>7.5880237999999993</v>
      </c>
      <c r="G35" s="34">
        <v>8.7144002900000697</v>
      </c>
      <c r="H35" s="34">
        <v>1.3482631900000004</v>
      </c>
      <c r="I35" s="34">
        <v>1.4524905000000015</v>
      </c>
      <c r="J35" s="34">
        <v>2.0477725800000002</v>
      </c>
      <c r="K35" s="34">
        <v>3.0588641900000013</v>
      </c>
      <c r="L35" s="34">
        <v>3.1356109599999993</v>
      </c>
      <c r="M35" s="34">
        <v>3.2174565400000019</v>
      </c>
      <c r="N35" s="34">
        <v>3.5786711700000002</v>
      </c>
      <c r="O35" s="34">
        <v>1.9020968199999999</v>
      </c>
      <c r="P35" s="34">
        <f>SUM(D35:O35)</f>
        <v>49.439265740000074</v>
      </c>
      <c r="R35" s="57"/>
    </row>
    <row r="36" spans="2:20" s="3" customFormat="1" ht="18" customHeight="1" thickTop="1" thickBot="1">
      <c r="B36" s="260"/>
      <c r="C36" s="29" t="s">
        <v>139</v>
      </c>
      <c r="D36" s="34">
        <f>+D33+D34+D35</f>
        <v>86.278730889999977</v>
      </c>
      <c r="E36" s="34">
        <f t="shared" ref="E36:P36" si="6">+E33+E34+E35</f>
        <v>78.110633270000008</v>
      </c>
      <c r="F36" s="34">
        <f t="shared" si="6"/>
        <v>116.67883203999999</v>
      </c>
      <c r="G36" s="34">
        <f t="shared" si="6"/>
        <v>73.842290730000073</v>
      </c>
      <c r="H36" s="34">
        <f t="shared" si="6"/>
        <v>107.86243283999995</v>
      </c>
      <c r="I36" s="52">
        <f t="shared" si="6"/>
        <v>55.84741944000001</v>
      </c>
      <c r="J36" s="52">
        <f t="shared" si="6"/>
        <v>86.043919319999944</v>
      </c>
      <c r="K36" s="52">
        <f t="shared" si="6"/>
        <v>69.371357099999983</v>
      </c>
      <c r="L36" s="52">
        <f t="shared" si="6"/>
        <v>67.639554020000006</v>
      </c>
      <c r="M36" s="52">
        <f t="shared" si="6"/>
        <v>65.551822369999968</v>
      </c>
      <c r="N36" s="52">
        <f t="shared" si="6"/>
        <v>75.103189010000037</v>
      </c>
      <c r="O36" s="52">
        <f t="shared" si="6"/>
        <v>66.04917033000001</v>
      </c>
      <c r="P36" s="34">
        <f t="shared" si="6"/>
        <v>948.37935135999999</v>
      </c>
      <c r="R36" s="46">
        <f>+D36+E36+F36+G36</f>
        <v>354.91048693000005</v>
      </c>
    </row>
    <row r="37" spans="2:20" s="3" customFormat="1" ht="18" customHeight="1" thickTop="1" thickBot="1">
      <c r="B37" s="260"/>
      <c r="C37" s="32" t="s">
        <v>67</v>
      </c>
      <c r="D37" s="35">
        <f>+(D36-'Impo 2014'!D36)/'Impo 2014'!D36</f>
        <v>-0.219334657661508</v>
      </c>
      <c r="E37" s="35">
        <f>+(E36-'Impo 2014'!E36)/'Impo 2014'!E36</f>
        <v>1.4495206469958031</v>
      </c>
      <c r="F37" s="35">
        <f>+(F36-'Impo 2014'!F36)/'Impo 2014'!F36</f>
        <v>0.18499018654487648</v>
      </c>
      <c r="G37" s="35">
        <f>+(G36-'Impo 2014'!G36)/'Impo 2014'!G36</f>
        <v>-0.14757494264281015</v>
      </c>
      <c r="H37" s="35">
        <f>+(H36-'Impo 2014'!H36)/'Impo 2014'!H36</f>
        <v>0.36582399805688109</v>
      </c>
      <c r="I37" s="35">
        <f>+(I36-'Impo 2014'!I36)/'Impo 2014'!I36</f>
        <v>-0.2966071672103322</v>
      </c>
      <c r="J37" s="35">
        <f>+(J36-'Impo 2014'!J36)/'Impo 2014'!J36</f>
        <v>-8.2643770133093611E-2</v>
      </c>
      <c r="K37" s="35">
        <f>+(K36-'Impo 2014'!K36)/'Impo 2014'!K36</f>
        <v>2.1426628679852198E-2</v>
      </c>
      <c r="L37" s="35">
        <f>+(L36-'Impo 2014'!L36)/'Impo 2014'!L36</f>
        <v>0.29556780842313568</v>
      </c>
      <c r="M37" s="35">
        <f>+(M36-'Impo 2014'!M36)/'Impo 2014'!M36</f>
        <v>-0.45011301876993964</v>
      </c>
      <c r="N37" s="35">
        <f>+(N36-'Impo 2014'!N36)/'Impo 2014'!N36</f>
        <v>-7.967330518503607E-2</v>
      </c>
      <c r="O37" s="35">
        <f>+(O36-'Impo 2014'!O36)/'Impo 2014'!O36</f>
        <v>0.1647574532388843</v>
      </c>
      <c r="P37" s="35">
        <f>+(P36-'Impo 2014'!P36)/'Impo 2014'!P36</f>
        <v>-9.3272085938516033E-3</v>
      </c>
      <c r="R37" s="14"/>
    </row>
    <row r="38" spans="2:20" s="3" customFormat="1" ht="18" customHeight="1" thickTop="1" thickBot="1">
      <c r="B38" s="260" t="s">
        <v>10</v>
      </c>
      <c r="C38" s="31" t="s">
        <v>65</v>
      </c>
      <c r="D38" s="34">
        <v>8.4256426700000002</v>
      </c>
      <c r="E38" s="34">
        <v>17.878784969999998</v>
      </c>
      <c r="F38" s="34">
        <v>9.6061403399999978</v>
      </c>
      <c r="G38" s="34">
        <v>11.63650936</v>
      </c>
      <c r="H38" s="34">
        <v>6.4245713000000002</v>
      </c>
      <c r="I38" s="34">
        <v>16.407070549999997</v>
      </c>
      <c r="J38" s="34">
        <v>5.6888942700000005</v>
      </c>
      <c r="K38" s="34">
        <v>10.55825937</v>
      </c>
      <c r="L38" s="34">
        <v>13.492714790000001</v>
      </c>
      <c r="M38" s="34">
        <v>10.049421230000002</v>
      </c>
      <c r="N38" s="34">
        <v>4.3311568400000002</v>
      </c>
      <c r="O38" s="34">
        <v>10.774459029999999</v>
      </c>
      <c r="P38" s="34">
        <f>SUM(D38:O38)</f>
        <v>125.27362472000002</v>
      </c>
      <c r="R38" s="57"/>
    </row>
    <row r="39" spans="2:20" s="3" customFormat="1" ht="18" customHeight="1" thickTop="1" thickBot="1">
      <c r="B39" s="260"/>
      <c r="C39" s="29" t="s">
        <v>59</v>
      </c>
      <c r="D39" s="34">
        <v>16.710279730000003</v>
      </c>
      <c r="E39" s="34">
        <v>22.780645</v>
      </c>
      <c r="F39" s="34">
        <v>19.173920159999994</v>
      </c>
      <c r="G39" s="34">
        <v>21.106495759999998</v>
      </c>
      <c r="H39" s="34">
        <v>21.006229119999993</v>
      </c>
      <c r="I39" s="34">
        <v>22.301490570000009</v>
      </c>
      <c r="J39" s="34">
        <v>17.378981849999999</v>
      </c>
      <c r="K39" s="34">
        <v>17.965872660000016</v>
      </c>
      <c r="L39" s="34">
        <v>24.390853179999993</v>
      </c>
      <c r="M39" s="34">
        <v>21.13127840000001</v>
      </c>
      <c r="N39" s="34">
        <v>16.339392709999998</v>
      </c>
      <c r="O39" s="34">
        <v>17.440469610000008</v>
      </c>
      <c r="P39" s="34">
        <f>SUM(D39:O39)</f>
        <v>237.72590875000003</v>
      </c>
      <c r="R39" s="57"/>
    </row>
    <row r="40" spans="2:20" s="3" customFormat="1" ht="18" customHeight="1" thickTop="1" thickBot="1">
      <c r="B40" s="260"/>
      <c r="C40" s="29" t="s">
        <v>60</v>
      </c>
      <c r="D40" s="34">
        <v>2.7276700099999989</v>
      </c>
      <c r="E40" s="34">
        <v>0.47922574999999995</v>
      </c>
      <c r="F40" s="34">
        <v>0.76747600999999999</v>
      </c>
      <c r="G40" s="34">
        <v>0.26027387000000002</v>
      </c>
      <c r="H40" s="34">
        <v>1.0112877600000001</v>
      </c>
      <c r="I40" s="34">
        <v>0.46678590000000014</v>
      </c>
      <c r="J40" s="34">
        <v>0.56090827999999993</v>
      </c>
      <c r="K40" s="34">
        <v>0.33554445999999999</v>
      </c>
      <c r="L40" s="34">
        <v>0.68243723000000001</v>
      </c>
      <c r="M40" s="34">
        <v>0.68831640999999999</v>
      </c>
      <c r="N40" s="34">
        <v>0.12611572000000001</v>
      </c>
      <c r="O40" s="34">
        <v>0.35689627000000002</v>
      </c>
      <c r="P40" s="34">
        <f>SUM(D40:O40)</f>
        <v>8.4629376699999987</v>
      </c>
      <c r="R40" s="57"/>
    </row>
    <row r="41" spans="2:20" s="3" customFormat="1" ht="18" customHeight="1" thickTop="1" thickBot="1">
      <c r="B41" s="260"/>
      <c r="C41" s="29" t="s">
        <v>139</v>
      </c>
      <c r="D41" s="34">
        <f>+D38+D39+D40</f>
        <v>27.863592410000003</v>
      </c>
      <c r="E41" s="34">
        <f t="shared" ref="E41:O41" si="7">+E38+E39+E40</f>
        <v>41.138655719999996</v>
      </c>
      <c r="F41" s="34">
        <f t="shared" si="7"/>
        <v>29.54753650999999</v>
      </c>
      <c r="G41" s="34">
        <f t="shared" si="7"/>
        <v>33.003278989999998</v>
      </c>
      <c r="H41" s="52">
        <f t="shared" si="7"/>
        <v>28.442088179999992</v>
      </c>
      <c r="I41" s="52">
        <f t="shared" si="7"/>
        <v>39.175347020000004</v>
      </c>
      <c r="J41" s="52">
        <f t="shared" si="7"/>
        <v>23.628784400000001</v>
      </c>
      <c r="K41" s="52">
        <f t="shared" si="7"/>
        <v>28.85967649000002</v>
      </c>
      <c r="L41" s="52">
        <f t="shared" si="7"/>
        <v>38.566005199999992</v>
      </c>
      <c r="M41" s="52">
        <f t="shared" si="7"/>
        <v>31.869016040000012</v>
      </c>
      <c r="N41" s="52">
        <f t="shared" si="7"/>
        <v>20.796665269999998</v>
      </c>
      <c r="O41" s="52">
        <f t="shared" si="7"/>
        <v>28.571824910000007</v>
      </c>
      <c r="P41" s="34">
        <f>+P38+P39+P40</f>
        <v>371.46247114000005</v>
      </c>
      <c r="R41" s="46">
        <f>+D41+E41+F41+G41</f>
        <v>131.55306363</v>
      </c>
    </row>
    <row r="42" spans="2:20" s="3" customFormat="1" ht="18" customHeight="1" thickTop="1" thickBot="1">
      <c r="B42" s="260"/>
      <c r="C42" s="32" t="s">
        <v>67</v>
      </c>
      <c r="D42" s="35">
        <f>+(D41-'Impo 2014'!D41)/'Impo 2014'!D41</f>
        <v>-2.1027473124424718E-2</v>
      </c>
      <c r="E42" s="35">
        <f>+(E41-'Impo 2014'!E41)/'Impo 2014'!E41</f>
        <v>0.3749895480751555</v>
      </c>
      <c r="F42" s="35">
        <f>+(F41-'Impo 2014'!F41)/'Impo 2014'!F41</f>
        <v>-0.24589777221423623</v>
      </c>
      <c r="G42" s="35">
        <f>+(G41-'Impo 2014'!G41)/'Impo 2014'!G41</f>
        <v>0.56438797710934874</v>
      </c>
      <c r="H42" s="35">
        <f>+(H41-'Impo 2014'!H41)/'Impo 2014'!H41</f>
        <v>0.32681385650438233</v>
      </c>
      <c r="I42" s="35">
        <f>+(I41-'Impo 2014'!I41)/'Impo 2014'!I41</f>
        <v>0.16869661294796603</v>
      </c>
      <c r="J42" s="35">
        <f>+(J41-'Impo 2014'!J41)/'Impo 2014'!J41</f>
        <v>-0.34561947066151183</v>
      </c>
      <c r="K42" s="35">
        <f>+(K41-'Impo 2014'!K41)/'Impo 2014'!K41</f>
        <v>1.1670257376957816</v>
      </c>
      <c r="L42" s="35">
        <f>+(L41-'Impo 2014'!L41)/'Impo 2014'!L41</f>
        <v>0.36888963784961154</v>
      </c>
      <c r="M42" s="35">
        <f>+(M41-'Impo 2014'!M41)/'Impo 2014'!M41</f>
        <v>-3.7433112232745314E-2</v>
      </c>
      <c r="N42" s="35">
        <f>+(N41-'Impo 2014'!N41)/'Impo 2014'!N41</f>
        <v>0.19637302103855739</v>
      </c>
      <c r="O42" s="35">
        <f>+(O41-'Impo 2014'!O41)/'Impo 2014'!O41</f>
        <v>0.22445035201314203</v>
      </c>
      <c r="P42" s="35">
        <f>+(P41-'Impo 2014'!P41)/'Impo 2014'!P41</f>
        <v>0.14281162558056087</v>
      </c>
      <c r="R42" s="14"/>
    </row>
    <row r="43" spans="2:20" s="3" customFormat="1" ht="18" customHeight="1" thickTop="1" thickBot="1">
      <c r="B43" s="260" t="s">
        <v>11</v>
      </c>
      <c r="C43" s="31" t="s">
        <v>65</v>
      </c>
      <c r="D43" s="34">
        <v>17.551607000000001</v>
      </c>
      <c r="E43" s="34">
        <v>29.033064</v>
      </c>
      <c r="F43" s="34">
        <v>10.756714000000001</v>
      </c>
      <c r="G43" s="34">
        <v>12.752312999999999</v>
      </c>
      <c r="H43" s="34">
        <v>17.513634</v>
      </c>
      <c r="I43" s="34">
        <v>15.065599000000001</v>
      </c>
      <c r="J43" s="34">
        <v>16.404927000000001</v>
      </c>
      <c r="K43" s="34">
        <v>27.599271000000002</v>
      </c>
      <c r="L43" s="34">
        <v>43.395752999999999</v>
      </c>
      <c r="M43" s="34">
        <v>19.003876000000002</v>
      </c>
      <c r="N43" s="34">
        <v>10.415858</v>
      </c>
      <c r="O43" s="34">
        <v>18.873624</v>
      </c>
      <c r="P43" s="34">
        <f>SUM(D43:O43)</f>
        <v>238.36624</v>
      </c>
      <c r="R43" s="57"/>
    </row>
    <row r="44" spans="2:20" s="3" customFormat="1" ht="18" customHeight="1" thickTop="1" thickBot="1">
      <c r="B44" s="260"/>
      <c r="C44" s="29" t="s">
        <v>59</v>
      </c>
      <c r="D44" s="34">
        <v>12.944565000000001</v>
      </c>
      <c r="E44" s="34">
        <v>37.837600000000002</v>
      </c>
      <c r="F44" s="34">
        <v>44.044288999999999</v>
      </c>
      <c r="G44" s="34">
        <v>30.665303999999999</v>
      </c>
      <c r="H44" s="34">
        <v>28.314215000000001</v>
      </c>
      <c r="I44" s="34">
        <v>30.505583000000001</v>
      </c>
      <c r="J44" s="34">
        <v>39.181702000000001</v>
      </c>
      <c r="K44" s="34">
        <v>30.992322999999999</v>
      </c>
      <c r="L44" s="34">
        <v>60.098376999999999</v>
      </c>
      <c r="M44" s="34">
        <v>33.140118000000001</v>
      </c>
      <c r="N44" s="34">
        <v>20.990304999999999</v>
      </c>
      <c r="O44" s="34">
        <v>28.818808000000001</v>
      </c>
      <c r="P44" s="34">
        <f>SUM(D44:O44)</f>
        <v>397.53318899999994</v>
      </c>
      <c r="R44" s="57"/>
    </row>
    <row r="45" spans="2:20" s="3" customFormat="1" ht="18" customHeight="1" thickTop="1" thickBot="1">
      <c r="B45" s="260"/>
      <c r="C45" s="29" t="s">
        <v>60</v>
      </c>
      <c r="D45" s="34">
        <v>0.90370700000000004</v>
      </c>
      <c r="E45" s="34">
        <v>0.94284000000000001</v>
      </c>
      <c r="F45" s="34">
        <v>1.4701789999999999</v>
      </c>
      <c r="G45" s="34">
        <v>1.9044999999999999E-2</v>
      </c>
      <c r="H45" s="34">
        <v>0.26194099999999998</v>
      </c>
      <c r="I45" s="34">
        <v>0.42937199999999998</v>
      </c>
      <c r="J45" s="34">
        <v>0.75295100000000004</v>
      </c>
      <c r="K45" s="34">
        <v>0.36099100000000001</v>
      </c>
      <c r="L45" s="34">
        <v>0.73832900000000001</v>
      </c>
      <c r="M45" s="34">
        <v>0.14572199999999999</v>
      </c>
      <c r="N45" s="34">
        <v>1.085477</v>
      </c>
      <c r="O45" s="34">
        <v>0.21471100000000001</v>
      </c>
      <c r="P45" s="34">
        <f>SUM(D45:O45)</f>
        <v>7.3252650000000017</v>
      </c>
      <c r="R45" s="57"/>
    </row>
    <row r="46" spans="2:20" s="3" customFormat="1" ht="18" customHeight="1" thickTop="1" thickBot="1">
      <c r="B46" s="260"/>
      <c r="C46" s="29" t="s">
        <v>139</v>
      </c>
      <c r="D46" s="34">
        <f>+D43+D44+D45</f>
        <v>31.399879000000002</v>
      </c>
      <c r="E46" s="34">
        <f t="shared" ref="E46:P46" si="8">+E43+E44+E45</f>
        <v>67.813504000000009</v>
      </c>
      <c r="F46" s="34">
        <f t="shared" si="8"/>
        <v>56.271182000000003</v>
      </c>
      <c r="G46" s="34">
        <f t="shared" si="8"/>
        <v>43.436661999999998</v>
      </c>
      <c r="H46" s="52">
        <f t="shared" si="8"/>
        <v>46.089790000000001</v>
      </c>
      <c r="I46" s="52">
        <f t="shared" si="8"/>
        <v>46.000554000000001</v>
      </c>
      <c r="J46" s="52">
        <f t="shared" si="8"/>
        <v>56.339580000000005</v>
      </c>
      <c r="K46" s="52">
        <f t="shared" si="8"/>
        <v>58.952584999999999</v>
      </c>
      <c r="L46" s="52">
        <f t="shared" si="8"/>
        <v>104.23245899999999</v>
      </c>
      <c r="M46" s="52">
        <f t="shared" si="8"/>
        <v>52.289716000000006</v>
      </c>
      <c r="N46" s="52">
        <f t="shared" si="8"/>
        <v>32.491639999999997</v>
      </c>
      <c r="O46" s="52">
        <f t="shared" si="8"/>
        <v>47.907142999999998</v>
      </c>
      <c r="P46" s="34">
        <f t="shared" si="8"/>
        <v>643.224694</v>
      </c>
      <c r="R46" s="46">
        <f>+D46+E46+F46+G46</f>
        <v>198.92122699999999</v>
      </c>
    </row>
    <row r="47" spans="2:20" s="3" customFormat="1" ht="18" customHeight="1" thickTop="1" thickBot="1">
      <c r="B47" s="260"/>
      <c r="C47" s="32" t="s">
        <v>67</v>
      </c>
      <c r="D47" s="35">
        <f>+(D46-'Impo 2014'!D46)/'Impo 2014'!D46</f>
        <v>-0.4580538819404838</v>
      </c>
      <c r="E47" s="35">
        <f>+(E46-'Impo 2014'!E46)/'Impo 2014'!E46</f>
        <v>1.2849723037658618</v>
      </c>
      <c r="F47" s="35">
        <f>+(F46-'Impo 2014'!F46)/'Impo 2014'!F46</f>
        <v>6.7259026290644661E-2</v>
      </c>
      <c r="G47" s="35">
        <f>+(G46-'Impo 2014'!G46)/'Impo 2014'!G46</f>
        <v>-9.0962795651546691E-2</v>
      </c>
      <c r="H47" s="35">
        <f>+(H46-'Impo 2014'!H46)/'Impo 2014'!H46</f>
        <v>-0.1539518083320762</v>
      </c>
      <c r="I47" s="35">
        <f>+(I46-'Impo 2014'!I46)/'Impo 2014'!I46</f>
        <v>-0.24063891146172586</v>
      </c>
      <c r="J47" s="35">
        <f>+(J46-'Impo 2014'!J46)/'Impo 2014'!J46</f>
        <v>-0.31695944156398975</v>
      </c>
      <c r="K47" s="35">
        <f>+(K46-'Impo 2014'!K46)/'Impo 2014'!K46</f>
        <v>2.1304935894869308</v>
      </c>
      <c r="L47" s="35">
        <f>+(L46-'Impo 2014'!L46)/'Impo 2014'!L46</f>
        <v>0.6719685517561752</v>
      </c>
      <c r="M47" s="35">
        <f>+(M46-'Impo 2014'!M46)/'Impo 2014'!M46</f>
        <v>-0.11963916222528734</v>
      </c>
      <c r="N47" s="35">
        <f>+(N46-'Impo 2014'!N46)/'Impo 2014'!N46</f>
        <v>9.5311208535732699E-3</v>
      </c>
      <c r="O47" s="35">
        <f>+(O46-'Impo 2014'!O46)/'Impo 2014'!O46</f>
        <v>-0.12532020557424273</v>
      </c>
      <c r="P47" s="35">
        <f>+(P46-'Impo 2014'!P46)/'Impo 2014'!P46</f>
        <v>4.8984652335718637E-2</v>
      </c>
      <c r="R47" s="14"/>
    </row>
    <row r="48" spans="2:20" s="3" customFormat="1" ht="18" customHeight="1" thickTop="1" thickBot="1">
      <c r="B48" s="260" t="s">
        <v>86</v>
      </c>
      <c r="C48" s="31" t="s">
        <v>65</v>
      </c>
      <c r="D48" s="34">
        <v>7.0826315199999987</v>
      </c>
      <c r="E48" s="34">
        <v>7.8824772900000006</v>
      </c>
      <c r="F48" s="34">
        <v>6.7323714499999996</v>
      </c>
      <c r="G48" s="34">
        <v>7.4531157400000012</v>
      </c>
      <c r="H48" s="34">
        <v>9.4082189799999991</v>
      </c>
      <c r="I48" s="34">
        <v>8.1897039099999986</v>
      </c>
      <c r="J48" s="34">
        <v>13.242771840000003</v>
      </c>
      <c r="K48" s="34">
        <v>9.1081668100000002</v>
      </c>
      <c r="L48" s="34">
        <v>15.591410249999999</v>
      </c>
      <c r="M48" s="34">
        <v>8.8988088200000011</v>
      </c>
      <c r="N48" s="34">
        <v>8.8929672499999999</v>
      </c>
      <c r="O48" s="34">
        <v>8.8367324800000002</v>
      </c>
      <c r="P48" s="34">
        <f>+SUM(D48:O48)</f>
        <v>111.31937633999999</v>
      </c>
      <c r="R48" s="57"/>
      <c r="T48" s="62">
        <f>+AVERAGE(D48:F48)</f>
        <v>7.23249342</v>
      </c>
    </row>
    <row r="49" spans="2:20" s="3" customFormat="1" ht="18" customHeight="1" thickTop="1" thickBot="1">
      <c r="B49" s="260"/>
      <c r="C49" s="29" t="s">
        <v>59</v>
      </c>
      <c r="D49" s="34">
        <v>19.125045599999996</v>
      </c>
      <c r="E49" s="34">
        <v>10.394382009999999</v>
      </c>
      <c r="F49" s="34">
        <v>30.803981310000005</v>
      </c>
      <c r="G49" s="34">
        <v>12.743988069999999</v>
      </c>
      <c r="H49" s="34">
        <v>29.466093000000001</v>
      </c>
      <c r="I49" s="34">
        <v>20.641566749999999</v>
      </c>
      <c r="J49" s="34">
        <v>22.420491940000002</v>
      </c>
      <c r="K49" s="34">
        <v>41.904622670000016</v>
      </c>
      <c r="L49" s="34">
        <v>10.405791490000002</v>
      </c>
      <c r="M49" s="34">
        <v>45.712954920000001</v>
      </c>
      <c r="N49" s="34">
        <v>28.038603160000001</v>
      </c>
      <c r="O49" s="34">
        <v>53.636417389999998</v>
      </c>
      <c r="P49" s="34">
        <f>+SUM(D49:O49)</f>
        <v>325.29393830999999</v>
      </c>
      <c r="R49" s="57"/>
      <c r="T49" s="62">
        <f>+AVERAGE(D49:F49)</f>
        <v>20.107802973333332</v>
      </c>
    </row>
    <row r="50" spans="2:20" s="3" customFormat="1" ht="18" customHeight="1" thickTop="1" thickBot="1">
      <c r="B50" s="260"/>
      <c r="C50" s="29" t="s">
        <v>60</v>
      </c>
      <c r="D50" s="34">
        <v>0.30931717999999991</v>
      </c>
      <c r="E50" s="34">
        <v>0.49250240000000001</v>
      </c>
      <c r="F50" s="34">
        <v>0.31035312000000004</v>
      </c>
      <c r="G50" s="34">
        <v>0.37005567</v>
      </c>
      <c r="H50" s="34">
        <v>1.4467286800000001</v>
      </c>
      <c r="I50" s="34">
        <v>0.33796008999999999</v>
      </c>
      <c r="J50" s="34">
        <v>0.42214355000000003</v>
      </c>
      <c r="K50" s="34">
        <v>0.85511298999999996</v>
      </c>
      <c r="L50" s="34">
        <v>6.0544329999999993E-2</v>
      </c>
      <c r="M50" s="34">
        <v>0.16922263000000001</v>
      </c>
      <c r="N50" s="34">
        <v>0.14721382</v>
      </c>
      <c r="O50" s="34">
        <v>0.12026083999999999</v>
      </c>
      <c r="P50" s="34">
        <f>+SUM(D50:O50)</f>
        <v>5.0414153000000006</v>
      </c>
      <c r="R50" s="57"/>
      <c r="T50" s="62">
        <f>+AVERAGE(D50:F50)</f>
        <v>0.37072423333333332</v>
      </c>
    </row>
    <row r="51" spans="2:20" s="3" customFormat="1" ht="18" customHeight="1" thickTop="1" thickBot="1">
      <c r="B51" s="260"/>
      <c r="C51" s="29" t="s">
        <v>139</v>
      </c>
      <c r="D51" s="34">
        <f>+D48+D49+D50</f>
        <v>26.516994299999997</v>
      </c>
      <c r="E51" s="34">
        <f t="shared" ref="E51:P51" si="9">+E48+E49+E50</f>
        <v>18.769361699999997</v>
      </c>
      <c r="F51" s="34">
        <f t="shared" si="9"/>
        <v>37.846705880000009</v>
      </c>
      <c r="G51" s="34">
        <f t="shared" si="9"/>
        <v>20.567159480000001</v>
      </c>
      <c r="H51" s="34">
        <f t="shared" si="9"/>
        <v>40.321040660000001</v>
      </c>
      <c r="I51" s="52">
        <f t="shared" si="9"/>
        <v>29.169230749999997</v>
      </c>
      <c r="J51" s="52">
        <f t="shared" si="9"/>
        <v>36.08540733000001</v>
      </c>
      <c r="K51" s="52">
        <f t="shared" si="9"/>
        <v>51.867902470000018</v>
      </c>
      <c r="L51" s="52">
        <f t="shared" si="9"/>
        <v>26.05774607</v>
      </c>
      <c r="M51" s="52">
        <f t="shared" si="9"/>
        <v>54.780986370000001</v>
      </c>
      <c r="N51" s="52">
        <f t="shared" si="9"/>
        <v>37.078784229999997</v>
      </c>
      <c r="O51" s="52">
        <f t="shared" si="9"/>
        <v>62.593410710000001</v>
      </c>
      <c r="P51" s="34">
        <f t="shared" si="9"/>
        <v>441.65472994999999</v>
      </c>
      <c r="R51" s="46">
        <f>+D51+E51+F51+G51</f>
        <v>103.70022136000001</v>
      </c>
      <c r="T51" s="62">
        <f>+AVERAGE(D51:F51)</f>
        <v>27.71102062666667</v>
      </c>
    </row>
    <row r="52" spans="2:20" s="3" customFormat="1" ht="18" customHeight="1" thickTop="1" thickBot="1">
      <c r="B52" s="260"/>
      <c r="C52" s="32" t="s">
        <v>67</v>
      </c>
      <c r="D52" s="35">
        <f>+(D51-'Impo 2014'!D46)/'Impo 2014'!D46</f>
        <v>-0.54233001587390461</v>
      </c>
      <c r="E52" s="35">
        <f>+(E51-'Impo 2014'!E46)/'Impo 2014'!E46</f>
        <v>-0.36756738534166111</v>
      </c>
      <c r="F52" s="35">
        <f>+(F51-'Impo 2014'!F46)/'Impo 2014'!F46</f>
        <v>-0.2821860670032269</v>
      </c>
      <c r="G52" s="35">
        <f>+(G51-'Impo 2014'!G46)/'Impo 2014'!G46</f>
        <v>-0.56957297604756119</v>
      </c>
      <c r="H52" s="35">
        <f>+(H51-'Impo 2014'!H46)/'Impo 2014'!H46</f>
        <v>-0.25984597594040176</v>
      </c>
      <c r="I52" s="35">
        <f>+(I51-'Impo 2014'!I46)/'Impo 2014'!I46</f>
        <v>-0.5184845205528591</v>
      </c>
      <c r="J52" s="35">
        <f>+(J51-'Impo 2014'!J46)/'Impo 2014'!J46</f>
        <v>-0.56251365782148</v>
      </c>
      <c r="K52" s="35">
        <f>+(K51-'Impo 2014'!K46)/'Impo 2014'!K46</f>
        <v>1.7542835684384053</v>
      </c>
      <c r="L52" s="35">
        <f>+(L51-'Impo 2014'!L46)/'Impo 2014'!L46</f>
        <v>-0.58201377597080317</v>
      </c>
      <c r="M52" s="35">
        <f>+(M51-'Impo 2014'!M46)/'Impo 2014'!M46</f>
        <v>-7.76956016586835E-2</v>
      </c>
      <c r="N52" s="35">
        <f>+(N51-'Impo 2014'!N46)/'Impo 2014'!N46</f>
        <v>0.15205593203666226</v>
      </c>
      <c r="O52" s="35">
        <f>+(O51-'Impo 2014'!O46)/'Impo 2014'!O46</f>
        <v>0.14281896568596875</v>
      </c>
      <c r="P52" s="35">
        <f>+(P51-'Impo 2014'!P46)/'Impo 2014'!P46</f>
        <v>-0.27973997629353076</v>
      </c>
      <c r="R52" s="14"/>
    </row>
    <row r="53" spans="2:20" ht="18" customHeight="1" thickTop="1" thickBot="1">
      <c r="B53" s="260" t="s">
        <v>43</v>
      </c>
      <c r="C53" s="31" t="s">
        <v>65</v>
      </c>
      <c r="D53" s="34">
        <v>150.63032740200003</v>
      </c>
      <c r="E53" s="34">
        <v>163.825910967</v>
      </c>
      <c r="F53" s="34">
        <v>172.01450032300002</v>
      </c>
      <c r="G53" s="34">
        <v>197.87175255299999</v>
      </c>
      <c r="H53" s="34">
        <v>176.33623706700004</v>
      </c>
      <c r="I53" s="34">
        <v>173.23004731000003</v>
      </c>
      <c r="J53" s="34">
        <v>167.80203249200002</v>
      </c>
      <c r="K53" s="34">
        <v>192.967063419</v>
      </c>
      <c r="L53" s="34">
        <v>137.870679658</v>
      </c>
      <c r="M53" s="34">
        <v>106.73559318700002</v>
      </c>
      <c r="N53" s="34">
        <v>99.459227004999988</v>
      </c>
      <c r="O53" s="34">
        <v>127.13149709100001</v>
      </c>
      <c r="P53" s="34">
        <f>SUM(D53:O53)</f>
        <v>1865.8748684740001</v>
      </c>
      <c r="R53" s="57"/>
      <c r="S53" s="14">
        <f>+P53/$P$56</f>
        <v>0.18262402858987697</v>
      </c>
    </row>
    <row r="54" spans="2:20" ht="18" customHeight="1" thickTop="1" thickBot="1">
      <c r="B54" s="260"/>
      <c r="C54" s="29" t="s">
        <v>59</v>
      </c>
      <c r="D54" s="34">
        <v>666.56635787099992</v>
      </c>
      <c r="E54" s="34">
        <v>639.95518901499997</v>
      </c>
      <c r="F54" s="34">
        <v>763.84132656499992</v>
      </c>
      <c r="G54" s="34">
        <v>685.52537931000006</v>
      </c>
      <c r="H54" s="34">
        <v>730.02414978200011</v>
      </c>
      <c r="I54" s="34">
        <v>736.54125047399998</v>
      </c>
      <c r="J54" s="34">
        <v>668.63177853999991</v>
      </c>
      <c r="K54" s="34">
        <v>701.00385853799992</v>
      </c>
      <c r="L54" s="34">
        <v>735.16383963700014</v>
      </c>
      <c r="M54" s="34">
        <v>627.78083710100009</v>
      </c>
      <c r="N54" s="34">
        <v>613.74102151900001</v>
      </c>
      <c r="O54" s="34">
        <v>645.35681864800006</v>
      </c>
      <c r="P54" s="34">
        <f>SUM(D54:O54)</f>
        <v>8214.1318069999998</v>
      </c>
      <c r="R54" s="57"/>
      <c r="S54" s="14">
        <f>+P54/$P$56</f>
        <v>0.80396486779921961</v>
      </c>
    </row>
    <row r="55" spans="2:20" ht="18" customHeight="1" thickTop="1" thickBot="1">
      <c r="B55" s="260"/>
      <c r="C55" s="29" t="s">
        <v>60</v>
      </c>
      <c r="D55" s="34">
        <v>10.422772120000001</v>
      </c>
      <c r="E55" s="34">
        <v>8.7642394220000028</v>
      </c>
      <c r="F55" s="34">
        <v>12.469357085</v>
      </c>
      <c r="G55" s="34">
        <v>12.829800402999997</v>
      </c>
      <c r="H55" s="34">
        <v>8.2578491649999979</v>
      </c>
      <c r="I55" s="34">
        <v>14.623253923000005</v>
      </c>
      <c r="J55" s="34">
        <v>12.014956182000001</v>
      </c>
      <c r="K55" s="34">
        <v>13.531581942000003</v>
      </c>
      <c r="L55" s="34">
        <v>13.936302101999996</v>
      </c>
      <c r="M55" s="34">
        <v>8.5587168270000014</v>
      </c>
      <c r="N55" s="34">
        <v>10.299107930999998</v>
      </c>
      <c r="O55" s="34">
        <v>11.313688032999996</v>
      </c>
      <c r="P55" s="34">
        <f>SUM(D55:O55)</f>
        <v>137.02162513499999</v>
      </c>
      <c r="R55" s="57"/>
      <c r="S55" s="14">
        <f>+P55/$P$56</f>
        <v>1.3411103610903441E-2</v>
      </c>
    </row>
    <row r="56" spans="2:20" ht="18" customHeight="1" thickTop="1" thickBot="1">
      <c r="B56" s="260"/>
      <c r="C56" s="29" t="s">
        <v>139</v>
      </c>
      <c r="D56" s="34">
        <f>+D53+D54+D55</f>
        <v>827.61945739299995</v>
      </c>
      <c r="E56" s="34">
        <f t="shared" ref="E56:O56" si="10">+E53+E54+E55</f>
        <v>812.54533940400006</v>
      </c>
      <c r="F56" s="34">
        <f t="shared" si="10"/>
        <v>948.32518397299987</v>
      </c>
      <c r="G56" s="34">
        <f t="shared" si="10"/>
        <v>896.22693226600006</v>
      </c>
      <c r="H56" s="34">
        <f t="shared" si="10"/>
        <v>914.61823601400022</v>
      </c>
      <c r="I56" s="34">
        <f t="shared" si="10"/>
        <v>924.39455170700001</v>
      </c>
      <c r="J56" s="52">
        <f t="shared" si="10"/>
        <v>848.44876721399999</v>
      </c>
      <c r="K56" s="52">
        <f t="shared" si="10"/>
        <v>907.50250389899998</v>
      </c>
      <c r="L56" s="52">
        <f t="shared" si="10"/>
        <v>886.97082139700012</v>
      </c>
      <c r="M56" s="52">
        <f t="shared" si="10"/>
        <v>743.07514711500016</v>
      </c>
      <c r="N56" s="52">
        <f t="shared" si="10"/>
        <v>723.499356455</v>
      </c>
      <c r="O56" s="52">
        <f t="shared" si="10"/>
        <v>783.80200377200003</v>
      </c>
      <c r="P56" s="34">
        <f>+P53+P54+P55</f>
        <v>10217.028300608999</v>
      </c>
      <c r="Q56" s="4" t="s">
        <v>17</v>
      </c>
      <c r="R56" s="46">
        <f>+D56+E56+F56+G56</f>
        <v>3484.7169130359998</v>
      </c>
      <c r="S56" s="14">
        <f>+P56/$P$56</f>
        <v>1</v>
      </c>
    </row>
    <row r="57" spans="2:20" ht="18" customHeight="1" thickTop="1" thickBot="1">
      <c r="B57" s="260"/>
      <c r="C57" s="32" t="s">
        <v>67</v>
      </c>
      <c r="D57" s="35">
        <f>+(D56-'Impo 2014'!D56)/'Impo 2014'!D56</f>
        <v>0.37735346361766636</v>
      </c>
      <c r="E57" s="35">
        <f>+(E56-'Impo 2014'!E56)/'Impo 2014'!E56</f>
        <v>0.28958238642015</v>
      </c>
      <c r="F57" s="35">
        <f>+(F56-'Impo 2014'!F56)/'Impo 2014'!F56</f>
        <v>0.35783971264936804</v>
      </c>
      <c r="G57" s="35">
        <f>+(G56-'Impo 2014'!G56)/'Impo 2014'!G56</f>
        <v>0.27042643387470128</v>
      </c>
      <c r="H57" s="35">
        <f>+(H56-'Impo 2014'!H56)/'Impo 2014'!H56</f>
        <v>0.15152291763205072</v>
      </c>
      <c r="I57" s="35">
        <f>+(I56-'Impo 2014'!I56)/'Impo 2014'!I56</f>
        <v>0.29736082069149661</v>
      </c>
      <c r="J57" s="35">
        <f>+(J56-'Impo 2014'!J56)/'Impo 2014'!J56</f>
        <v>0.13216070939743269</v>
      </c>
      <c r="K57" s="35">
        <f>+(K56-'Impo 2014'!K56)/'Impo 2014'!K56</f>
        <v>7.6321293539679771E-2</v>
      </c>
      <c r="L57" s="35">
        <f>+(L56-'Impo 2014'!L56)/'Impo 2014'!L56</f>
        <v>0.2543672614531432</v>
      </c>
      <c r="M57" s="35">
        <f>+(M56-'Impo 2014'!M56)/'Impo 2014'!M56</f>
        <v>-6.1595220637558054E-2</v>
      </c>
      <c r="N57" s="35">
        <f>+(N56-'Impo 2014'!N56)/'Impo 2014'!N56</f>
        <v>-5.1683303886140369E-2</v>
      </c>
      <c r="O57" s="35">
        <f>+(O56-'Impo 2014'!O56)/'Impo 2014'!O56</f>
        <v>8.8235884616697791E-2</v>
      </c>
      <c r="P57" s="35">
        <f>+(P56-'Impo 2014'!P56)/'Impo 2014'!P56</f>
        <v>0.17217444354400652</v>
      </c>
      <c r="R57" s="14"/>
    </row>
    <row r="58" spans="2:20" s="3" customFormat="1" ht="18" customHeight="1" thickTop="1" thickBot="1">
      <c r="B58" s="260" t="s">
        <v>71</v>
      </c>
      <c r="C58" s="31" t="s">
        <v>65</v>
      </c>
      <c r="D58" s="34">
        <v>37.105668690000016</v>
      </c>
      <c r="E58" s="34">
        <v>41.898225999999994</v>
      </c>
      <c r="F58" s="34">
        <v>25.89683428</v>
      </c>
      <c r="G58" s="34">
        <v>10.143558399999998</v>
      </c>
      <c r="H58" s="34">
        <v>32.926778000000006</v>
      </c>
      <c r="I58" s="34">
        <v>14.784130120000004</v>
      </c>
      <c r="J58" s="34">
        <v>7.0448056500000007</v>
      </c>
      <c r="K58" s="34">
        <v>48.188368529999984</v>
      </c>
      <c r="L58" s="34">
        <v>38.650602499999984</v>
      </c>
      <c r="M58" s="34">
        <v>32.88397355</v>
      </c>
      <c r="N58" s="34">
        <v>21.899592339999998</v>
      </c>
      <c r="O58" s="34">
        <v>39.586194309999989</v>
      </c>
      <c r="P58" s="34">
        <f>SUM(D58:O58)</f>
        <v>351.00873236999996</v>
      </c>
      <c r="R58" s="57"/>
    </row>
    <row r="59" spans="2:20" s="3" customFormat="1" ht="18" customHeight="1" thickTop="1" thickBot="1">
      <c r="B59" s="260"/>
      <c r="C59" s="29" t="s">
        <v>59</v>
      </c>
      <c r="D59" s="34">
        <v>0.98382191999999979</v>
      </c>
      <c r="E59" s="34">
        <v>32.66674501</v>
      </c>
      <c r="F59" s="34">
        <v>1.7932181600000003</v>
      </c>
      <c r="G59" s="34">
        <v>2.4613795599999992</v>
      </c>
      <c r="H59" s="34">
        <v>9.0927405500000003</v>
      </c>
      <c r="I59" s="34">
        <v>7.4079394400000007</v>
      </c>
      <c r="J59" s="34">
        <v>2.7531162299999998</v>
      </c>
      <c r="K59" s="34">
        <v>12.8302361</v>
      </c>
      <c r="L59" s="34">
        <v>27.274929820000001</v>
      </c>
      <c r="M59" s="34">
        <v>13.652701919999997</v>
      </c>
      <c r="N59" s="34">
        <v>9.6813809700000011</v>
      </c>
      <c r="O59" s="34">
        <v>15.890081210000002</v>
      </c>
      <c r="P59" s="34">
        <f>SUM(D59:O59)</f>
        <v>136.48829089</v>
      </c>
      <c r="R59" s="57"/>
    </row>
    <row r="60" spans="2:20" s="3" customFormat="1" ht="18" customHeight="1" thickTop="1" thickBot="1">
      <c r="B60" s="260"/>
      <c r="C60" s="29" t="s">
        <v>60</v>
      </c>
      <c r="D60" s="34">
        <v>4.9735750000000009E-2</v>
      </c>
      <c r="E60" s="34">
        <v>0.29536088000000005</v>
      </c>
      <c r="F60" s="34">
        <v>0.57588904000000007</v>
      </c>
      <c r="G60" s="34">
        <v>0.14863008</v>
      </c>
      <c r="H60" s="34">
        <v>1.8891961199999998</v>
      </c>
      <c r="I60" s="34">
        <v>0.21332267999999999</v>
      </c>
      <c r="J60" s="34">
        <v>3.4643172900000012</v>
      </c>
      <c r="K60" s="34">
        <v>0.91607805000000009</v>
      </c>
      <c r="L60" s="34">
        <v>4.1767626099999999</v>
      </c>
      <c r="M60" s="34">
        <v>0.56895972000000006</v>
      </c>
      <c r="N60" s="34">
        <v>1.7251574399999998</v>
      </c>
      <c r="O60" s="34">
        <v>0.99665911000000007</v>
      </c>
      <c r="P60" s="34">
        <f>SUM(D60:O60)</f>
        <v>15.020068770000002</v>
      </c>
      <c r="R60" s="57"/>
    </row>
    <row r="61" spans="2:20" s="3" customFormat="1" ht="18" customHeight="1" thickTop="1" thickBot="1">
      <c r="B61" s="260"/>
      <c r="C61" s="29" t="s">
        <v>139</v>
      </c>
      <c r="D61" s="34">
        <f t="shared" ref="D61:P61" si="11">+D58+D59+D60</f>
        <v>38.139226360000016</v>
      </c>
      <c r="E61" s="34">
        <f t="shared" si="11"/>
        <v>74.860331889999998</v>
      </c>
      <c r="F61" s="34">
        <f t="shared" si="11"/>
        <v>28.265941480000002</v>
      </c>
      <c r="G61" s="34">
        <f t="shared" si="11"/>
        <v>12.753568039999998</v>
      </c>
      <c r="H61" s="34">
        <f t="shared" si="11"/>
        <v>43.908714670000009</v>
      </c>
      <c r="I61" s="52">
        <f t="shared" si="11"/>
        <v>22.405392240000005</v>
      </c>
      <c r="J61" s="52">
        <f t="shared" si="11"/>
        <v>13.262239170000001</v>
      </c>
      <c r="K61" s="52">
        <f t="shared" si="11"/>
        <v>61.934682679999987</v>
      </c>
      <c r="L61" s="52">
        <f t="shared" si="11"/>
        <v>70.102294929999985</v>
      </c>
      <c r="M61" s="52">
        <f t="shared" si="11"/>
        <v>47.105635190000001</v>
      </c>
      <c r="N61" s="52">
        <f t="shared" si="11"/>
        <v>33.306130749999994</v>
      </c>
      <c r="O61" s="52">
        <f t="shared" si="11"/>
        <v>56.47293462999999</v>
      </c>
      <c r="P61" s="34">
        <f t="shared" si="11"/>
        <v>502.51709203000001</v>
      </c>
      <c r="R61" s="46">
        <f>+D61+E61+F61+G61</f>
        <v>154.01906777000002</v>
      </c>
    </row>
    <row r="62" spans="2:20" s="3" customFormat="1" ht="18" customHeight="1" thickTop="1" thickBot="1">
      <c r="B62" s="260"/>
      <c r="C62" s="32" t="s">
        <v>67</v>
      </c>
      <c r="D62" s="35">
        <f>+(D61-'Impo 2014'!D61)/'Impo 2014'!D61</f>
        <v>0.22814027568490708</v>
      </c>
      <c r="E62" s="35">
        <f>+(E61-'Impo 2014'!E61)/'Impo 2014'!E61</f>
        <v>0.27897681125768042</v>
      </c>
      <c r="F62" s="35">
        <f>+(F61-'Impo 2014'!F61)/'Impo 2014'!F61</f>
        <v>-0.12420767578911833</v>
      </c>
      <c r="G62" s="35">
        <f>+(G61-'Impo 2014'!G61)/'Impo 2014'!G61</f>
        <v>-0.77455847050639515</v>
      </c>
      <c r="H62" s="35">
        <f>+(H61-'Impo 2014'!H61)/'Impo 2014'!H61</f>
        <v>0.17029793230522169</v>
      </c>
      <c r="I62" s="35">
        <f>+(I61-'Impo 2014'!I61)/'Impo 2014'!I61</f>
        <v>-0.66216948323494818</v>
      </c>
      <c r="J62" s="35">
        <f>+(J61-'Impo 2014'!J61)/'Impo 2014'!J61</f>
        <v>-0.50862357011129833</v>
      </c>
      <c r="K62" s="35">
        <f>+(K61-'Impo 2014'!K61)/'Impo 2014'!K61</f>
        <v>0.78208258870675396</v>
      </c>
      <c r="L62" s="35">
        <f>+(L61-'Impo 2014'!L61)/'Impo 2014'!L61</f>
        <v>-0.44630042925461172</v>
      </c>
      <c r="M62" s="35">
        <f>+(M61-'Impo 2014'!M61)/'Impo 2014'!M61</f>
        <v>0.4643157087277654</v>
      </c>
      <c r="N62" s="35">
        <f>+(N61-'Impo 2014'!N61)/'Impo 2014'!N61</f>
        <v>-0.11272046001475866</v>
      </c>
      <c r="O62" s="35">
        <f>+(O61-'Impo 2014'!O61)/'Impo 2014'!O61</f>
        <v>0.91910602076052095</v>
      </c>
      <c r="P62" s="35">
        <f>+(P61-'Impo 2014'!P61)/'Impo 2014'!P61</f>
        <v>-0.11801510122463139</v>
      </c>
      <c r="R62" s="14"/>
    </row>
    <row r="63" spans="2:20" s="3" customFormat="1" ht="18" customHeight="1" thickTop="1" thickBot="1">
      <c r="B63" s="261" t="s">
        <v>6</v>
      </c>
      <c r="C63" s="31" t="s">
        <v>65</v>
      </c>
      <c r="D63" s="34">
        <v>7.0447766600000001</v>
      </c>
      <c r="E63" s="34">
        <v>4.3631852000000002</v>
      </c>
      <c r="F63" s="34">
        <v>7.5032673299999999</v>
      </c>
      <c r="G63" s="34">
        <v>7.8200499799999994</v>
      </c>
      <c r="H63" s="34">
        <v>6.0698487099999996</v>
      </c>
      <c r="I63" s="34">
        <v>9.3875937100000009</v>
      </c>
      <c r="J63" s="34">
        <v>9.29800906</v>
      </c>
      <c r="K63" s="34">
        <v>6.1089063099999992</v>
      </c>
      <c r="L63" s="34">
        <v>6.4020432600000001</v>
      </c>
      <c r="M63" s="34">
        <v>6.8365608999999994</v>
      </c>
      <c r="N63" s="34">
        <v>7.9778230999999984</v>
      </c>
      <c r="O63" s="34">
        <v>9.5259732499999998</v>
      </c>
      <c r="P63" s="34">
        <f>SUM(D63:O63)</f>
        <v>88.338037469999989</v>
      </c>
      <c r="R63" s="57"/>
    </row>
    <row r="64" spans="2:20" s="3" customFormat="1" ht="18" customHeight="1" thickTop="1" thickBot="1">
      <c r="B64" s="261"/>
      <c r="C64" s="29" t="s">
        <v>59</v>
      </c>
      <c r="D64" s="34">
        <v>14.24467583</v>
      </c>
      <c r="E64" s="34">
        <v>17.46014182</v>
      </c>
      <c r="F64" s="34">
        <v>15.34251465</v>
      </c>
      <c r="G64" s="34">
        <v>20.19339201</v>
      </c>
      <c r="H64" s="34">
        <v>10.7516464</v>
      </c>
      <c r="I64" s="34">
        <v>31.055118579999998</v>
      </c>
      <c r="J64" s="34">
        <v>14.929955780000002</v>
      </c>
      <c r="K64" s="34">
        <v>14.002592890000001</v>
      </c>
      <c r="L64" s="34">
        <v>20.533459619999999</v>
      </c>
      <c r="M64" s="34">
        <v>19.90732513</v>
      </c>
      <c r="N64" s="34">
        <v>17.925336450000003</v>
      </c>
      <c r="O64" s="34">
        <v>20.288804689999999</v>
      </c>
      <c r="P64" s="34">
        <f>SUM(D64:O64)</f>
        <v>216.63496385000002</v>
      </c>
      <c r="R64" s="57"/>
    </row>
    <row r="65" spans="2:21" s="3" customFormat="1" ht="18" customHeight="1" thickTop="1" thickBot="1">
      <c r="B65" s="261"/>
      <c r="C65" s="29" t="s">
        <v>60</v>
      </c>
      <c r="D65" s="34">
        <v>2.8494779999999997E-2</v>
      </c>
      <c r="E65" s="34">
        <v>0.51277099999999998</v>
      </c>
      <c r="F65" s="34">
        <v>7.5485910000000003E-2</v>
      </c>
      <c r="G65" s="34">
        <v>0.113902</v>
      </c>
      <c r="H65" s="34">
        <v>1.291724E-2</v>
      </c>
      <c r="I65" s="34">
        <v>6.8311260000000013E-2</v>
      </c>
      <c r="J65" s="34">
        <v>0.154865</v>
      </c>
      <c r="K65" s="34">
        <v>0.31676100000000001</v>
      </c>
      <c r="L65" s="34">
        <v>8.9882500000000004E-2</v>
      </c>
      <c r="M65" s="34">
        <v>5.7784000000000002E-2</v>
      </c>
      <c r="N65" s="34">
        <v>6.6622399999999998E-3</v>
      </c>
      <c r="O65" s="34">
        <v>4.9716099999999999E-2</v>
      </c>
      <c r="P65" s="34">
        <f>SUM(D65:O65)</f>
        <v>1.4875530300000002</v>
      </c>
      <c r="R65" s="57"/>
    </row>
    <row r="66" spans="2:21" s="3" customFormat="1" ht="18" customHeight="1" thickTop="1" thickBot="1">
      <c r="B66" s="261"/>
      <c r="C66" s="29" t="s">
        <v>139</v>
      </c>
      <c r="D66" s="34">
        <f t="shared" ref="D66:P66" si="12">+D63+D64+D65</f>
        <v>21.317947270000001</v>
      </c>
      <c r="E66" s="34">
        <f t="shared" si="12"/>
        <v>22.336098020000001</v>
      </c>
      <c r="F66" s="52">
        <f t="shared" si="12"/>
        <v>22.921267889999999</v>
      </c>
      <c r="G66" s="52">
        <f t="shared" si="12"/>
        <v>28.12734399</v>
      </c>
      <c r="H66" s="52">
        <f t="shared" si="12"/>
        <v>16.834412350000001</v>
      </c>
      <c r="I66" s="52">
        <f t="shared" si="12"/>
        <v>40.511023550000004</v>
      </c>
      <c r="J66" s="52">
        <f t="shared" si="12"/>
        <v>24.382829840000003</v>
      </c>
      <c r="K66" s="52">
        <f t="shared" si="12"/>
        <v>20.4282602</v>
      </c>
      <c r="L66" s="52">
        <f t="shared" si="12"/>
        <v>27.025385379999999</v>
      </c>
      <c r="M66" s="52">
        <f t="shared" si="12"/>
        <v>26.80167003</v>
      </c>
      <c r="N66" s="52">
        <f t="shared" si="12"/>
        <v>25.909821790000002</v>
      </c>
      <c r="O66" s="52">
        <f t="shared" si="12"/>
        <v>29.86449404</v>
      </c>
      <c r="P66" s="34">
        <f t="shared" si="12"/>
        <v>306.46055435</v>
      </c>
      <c r="R66" s="46">
        <f>+D66+E66+F66+G66</f>
        <v>94.702657169999995</v>
      </c>
    </row>
    <row r="67" spans="2:21" s="3" customFormat="1" ht="18" customHeight="1" thickTop="1" thickBot="1">
      <c r="B67" s="261"/>
      <c r="C67" s="32" t="s">
        <v>67</v>
      </c>
      <c r="D67" s="35">
        <f>+(D66-'Impo 2014'!D66)/'Impo 2014'!D66</f>
        <v>-0.30190041809280171</v>
      </c>
      <c r="E67" s="35">
        <f>+(E66-'Impo 2014'!E66)/'Impo 2014'!E66</f>
        <v>-6.4693402013747722E-2</v>
      </c>
      <c r="F67" s="35">
        <f>+(F66-'Impo 2014'!F66)/'Impo 2014'!F66</f>
        <v>-0.22941457362153772</v>
      </c>
      <c r="G67" s="35">
        <f>+(G66-'Impo 2014'!G66)/'Impo 2014'!G66</f>
        <v>-0.52404675572861914</v>
      </c>
      <c r="H67" s="35">
        <f>+(H66-'Impo 2014'!H66)/'Impo 2014'!H66</f>
        <v>-0.50788883402366725</v>
      </c>
      <c r="I67" s="35">
        <f>+(I66-'Impo 2014'!I66)/'Impo 2014'!I66</f>
        <v>0.12902357535440265</v>
      </c>
      <c r="J67" s="35">
        <f>+(J66-'Impo 2014'!J66)/'Impo 2014'!J66</f>
        <v>-0.21258754381782857</v>
      </c>
      <c r="K67" s="35">
        <f>+(K66-'Impo 2014'!K66)/'Impo 2014'!K66</f>
        <v>-0.50246878018331531</v>
      </c>
      <c r="L67" s="35">
        <f>+(L66-'Impo 2014'!L66)/'Impo 2014'!L66</f>
        <v>0.15878689522288614</v>
      </c>
      <c r="M67" s="35">
        <f>+(M66-'Impo 2014'!M66)/'Impo 2014'!M66</f>
        <v>-0.43312658741685278</v>
      </c>
      <c r="N67" s="35">
        <f>+(N66-'Impo 2014'!N66)/'Impo 2014'!N66</f>
        <v>0.25004041201956961</v>
      </c>
      <c r="O67" s="35">
        <f>+(O66-'Impo 2014'!O66)/'Impo 2014'!O66</f>
        <v>0.52114461549372582</v>
      </c>
      <c r="P67" s="35">
        <f>+(P66-'Impo 2014'!P66)/'Impo 2014'!P66</f>
        <v>-0.2267684777436498</v>
      </c>
      <c r="R67" s="14"/>
    </row>
    <row r="68" spans="2:21" s="3" customFormat="1" ht="18" customHeight="1" thickTop="1" thickBot="1">
      <c r="B68" s="261" t="s">
        <v>44</v>
      </c>
      <c r="C68" s="31" t="s">
        <v>65</v>
      </c>
      <c r="D68" s="34">
        <v>78.848165900000041</v>
      </c>
      <c r="E68" s="34">
        <v>110.50608093999999</v>
      </c>
      <c r="F68" s="34">
        <v>66.324162299999955</v>
      </c>
      <c r="G68" s="34">
        <v>38.463831890000066</v>
      </c>
      <c r="H68" s="34">
        <v>37.480042919999974</v>
      </c>
      <c r="I68" s="34">
        <v>60.559997830000007</v>
      </c>
      <c r="J68" s="34">
        <v>57.980274489999964</v>
      </c>
      <c r="K68" s="34">
        <v>30.196425360000021</v>
      </c>
      <c r="L68" s="34">
        <v>79.927741609999984</v>
      </c>
      <c r="M68" s="34">
        <v>63.116173040000028</v>
      </c>
      <c r="N68" s="34">
        <v>93.31705322000002</v>
      </c>
      <c r="O68" s="34">
        <v>50.645884030000026</v>
      </c>
      <c r="P68" s="34">
        <f>SUM(D68:O68)</f>
        <v>767.36583353000003</v>
      </c>
      <c r="R68" s="57"/>
    </row>
    <row r="69" spans="2:21" s="3" customFormat="1" ht="18" customHeight="1" thickTop="1" thickBot="1">
      <c r="B69" s="261"/>
      <c r="C69" s="29" t="s">
        <v>59</v>
      </c>
      <c r="D69" s="34">
        <v>59.760296270000019</v>
      </c>
      <c r="E69" s="34">
        <v>104.19049240000002</v>
      </c>
      <c r="F69" s="34">
        <v>79.764945529999991</v>
      </c>
      <c r="G69" s="34">
        <v>94.963161810000031</v>
      </c>
      <c r="H69" s="34">
        <v>60.193498770000012</v>
      </c>
      <c r="I69" s="34">
        <v>64.43763558000002</v>
      </c>
      <c r="J69" s="34">
        <v>42.278933350000003</v>
      </c>
      <c r="K69" s="34">
        <v>48.056854559999991</v>
      </c>
      <c r="L69" s="34">
        <v>44.342730440000004</v>
      </c>
      <c r="M69" s="34">
        <v>48.272388920000019</v>
      </c>
      <c r="N69" s="34">
        <v>60.087606709999996</v>
      </c>
      <c r="O69" s="34">
        <v>49.493491600000056</v>
      </c>
      <c r="P69" s="34">
        <f>SUM(D69:O69)</f>
        <v>755.84203594000019</v>
      </c>
      <c r="R69" s="57"/>
    </row>
    <row r="70" spans="2:21" s="3" customFormat="1" ht="18" customHeight="1" thickTop="1" thickBot="1">
      <c r="B70" s="261"/>
      <c r="C70" s="29" t="s">
        <v>60</v>
      </c>
      <c r="D70" s="34">
        <v>4.114395700000002</v>
      </c>
      <c r="E70" s="34">
        <v>12.501898569999994</v>
      </c>
      <c r="F70" s="34">
        <v>4.9101682700000033</v>
      </c>
      <c r="G70" s="34">
        <v>7.4818009200000013</v>
      </c>
      <c r="H70" s="34">
        <v>2.2379481999999964</v>
      </c>
      <c r="I70" s="34">
        <v>8.3145542799999976</v>
      </c>
      <c r="J70" s="34">
        <v>7.1485207700000073</v>
      </c>
      <c r="K70" s="34">
        <v>4.421866570000005</v>
      </c>
      <c r="L70" s="34">
        <v>1.7824063300000008</v>
      </c>
      <c r="M70" s="34">
        <v>2.4582574800000061</v>
      </c>
      <c r="N70" s="34">
        <v>7.8679040399999982</v>
      </c>
      <c r="O70" s="34">
        <v>6.6338492300000063</v>
      </c>
      <c r="P70" s="34">
        <f>SUM(D70:O70)</f>
        <v>69.873570360000016</v>
      </c>
      <c r="R70" s="57"/>
    </row>
    <row r="71" spans="2:21" s="3" customFormat="1" ht="18" customHeight="1" thickTop="1" thickBot="1">
      <c r="B71" s="261"/>
      <c r="C71" s="29" t="s">
        <v>139</v>
      </c>
      <c r="D71" s="34">
        <f t="shared" ref="D71:P71" si="13">+D68+D69+D70</f>
        <v>142.72285787000004</v>
      </c>
      <c r="E71" s="34">
        <f t="shared" si="13"/>
        <v>227.19847191000002</v>
      </c>
      <c r="F71" s="34">
        <f t="shared" si="13"/>
        <v>150.99927609999995</v>
      </c>
      <c r="G71" s="34">
        <f t="shared" si="13"/>
        <v>140.90879462000009</v>
      </c>
      <c r="H71" s="34">
        <f t="shared" si="13"/>
        <v>99.91148988999997</v>
      </c>
      <c r="I71" s="52">
        <f t="shared" si="13"/>
        <v>133.31218769000003</v>
      </c>
      <c r="J71" s="52">
        <f t="shared" si="13"/>
        <v>107.40772860999996</v>
      </c>
      <c r="K71" s="52">
        <f t="shared" si="13"/>
        <v>82.675146490000017</v>
      </c>
      <c r="L71" s="52">
        <f t="shared" si="13"/>
        <v>126.05287838</v>
      </c>
      <c r="M71" s="52">
        <f t="shared" si="13"/>
        <v>113.84681944000005</v>
      </c>
      <c r="N71" s="52">
        <f t="shared" si="13"/>
        <v>161.27256396999999</v>
      </c>
      <c r="O71" s="52">
        <f t="shared" si="13"/>
        <v>106.77322486000008</v>
      </c>
      <c r="P71" s="34">
        <f t="shared" si="13"/>
        <v>1593.0814398300004</v>
      </c>
      <c r="R71" s="46">
        <f>+D71+E71+F71+G71</f>
        <v>661.82940050000013</v>
      </c>
    </row>
    <row r="72" spans="2:21" s="3" customFormat="1" ht="18" customHeight="1" thickTop="1" thickBot="1">
      <c r="B72" s="261"/>
      <c r="C72" s="32" t="s">
        <v>67</v>
      </c>
      <c r="D72" s="35">
        <f>+(D71-'Impo 2014'!D71)/'Impo 2014'!D71</f>
        <v>0.15532146791308443</v>
      </c>
      <c r="E72" s="35">
        <f>+(E71-'Impo 2014'!E71)/'Impo 2014'!E71</f>
        <v>0.36807468988442404</v>
      </c>
      <c r="F72" s="35">
        <f>+(F71-'Impo 2014'!F71)/'Impo 2014'!F71</f>
        <v>0.45482978018560666</v>
      </c>
      <c r="G72" s="35">
        <f>+(G71-'Impo 2014'!G71)/'Impo 2014'!G71</f>
        <v>-8.857455096466528E-2</v>
      </c>
      <c r="H72" s="35">
        <f>+(H71-'Impo 2014'!H71)/'Impo 2014'!H71</f>
        <v>-0.32088171237969215</v>
      </c>
      <c r="I72" s="35">
        <f>+(I71-'Impo 2014'!I71)/'Impo 2014'!I71</f>
        <v>-9.6289802494744697E-2</v>
      </c>
      <c r="J72" s="35">
        <f>+(J71-'Impo 2014'!J71)/'Impo 2014'!J71</f>
        <v>-0.24652441459654081</v>
      </c>
      <c r="K72" s="35">
        <f>+(K71-'Impo 2014'!K71)/'Impo 2014'!K71</f>
        <v>-0.18240880566570972</v>
      </c>
      <c r="L72" s="35">
        <f>+(L71-'Impo 2014'!L71)/'Impo 2014'!L71</f>
        <v>-0.78793996503997954</v>
      </c>
      <c r="M72" s="35">
        <f>+(M71-'Impo 2014'!M71)/'Impo 2014'!M71</f>
        <v>-0.19238849963031493</v>
      </c>
      <c r="N72" s="35">
        <f>+(N71-'Impo 2014'!N71)/'Impo 2014'!N71</f>
        <v>0.30972973263712583</v>
      </c>
      <c r="O72" s="35">
        <f>+(O71-'Impo 2014'!O71)/'Impo 2014'!O71</f>
        <v>-2.5863640129918368E-2</v>
      </c>
      <c r="P72" s="35">
        <f>+(P71-'Impo 2014'!P71)/'Impo 2014'!P71</f>
        <v>-0.22456569151296374</v>
      </c>
      <c r="R72" s="14"/>
    </row>
    <row r="73" spans="2:21" s="3" customFormat="1" ht="18" customHeight="1" thickTop="1" thickBot="1">
      <c r="B73" s="261" t="s">
        <v>7</v>
      </c>
      <c r="C73" s="31" t="s">
        <v>65</v>
      </c>
      <c r="D73" s="34">
        <v>6.1058772100000009</v>
      </c>
      <c r="E73" s="34">
        <v>3.4676373300000005</v>
      </c>
      <c r="F73" s="34">
        <v>8.2941166299999995</v>
      </c>
      <c r="G73" s="34">
        <v>4.127499610000001</v>
      </c>
      <c r="H73" s="34">
        <v>4.6200642300000005</v>
      </c>
      <c r="I73" s="34">
        <v>4.6044870800000002</v>
      </c>
      <c r="J73" s="34">
        <v>3.7143963799999993</v>
      </c>
      <c r="K73" s="34">
        <v>3.3109031299999998</v>
      </c>
      <c r="L73" s="34">
        <v>4.5764818000000016</v>
      </c>
      <c r="M73" s="34">
        <v>5.5415873800000002</v>
      </c>
      <c r="N73" s="34">
        <v>3.7466736600000003</v>
      </c>
      <c r="O73" s="34">
        <v>12.397919229999999</v>
      </c>
      <c r="P73" s="34">
        <f>SUM(D73:O73)</f>
        <v>64.507643670000007</v>
      </c>
      <c r="R73" s="57"/>
    </row>
    <row r="74" spans="2:21" s="3" customFormat="1" ht="18" customHeight="1" thickTop="1" thickBot="1">
      <c r="B74" s="261"/>
      <c r="C74" s="29" t="s">
        <v>59</v>
      </c>
      <c r="D74" s="34">
        <v>9.492854920000001</v>
      </c>
      <c r="E74" s="34">
        <v>5.5160152699999996</v>
      </c>
      <c r="F74" s="34">
        <v>8.2720170500000005</v>
      </c>
      <c r="G74" s="34">
        <v>6.2000024500000004</v>
      </c>
      <c r="H74" s="34">
        <v>8.2627531699999981</v>
      </c>
      <c r="I74" s="34">
        <v>8.9226438899999998</v>
      </c>
      <c r="J74" s="34">
        <v>8.6563420599999983</v>
      </c>
      <c r="K74" s="34">
        <v>5.4424633299999989</v>
      </c>
      <c r="L74" s="34">
        <v>6.0338381200000013</v>
      </c>
      <c r="M74" s="34">
        <v>6.0998155999999994</v>
      </c>
      <c r="N74" s="34">
        <v>5.91602768</v>
      </c>
      <c r="O74" s="34">
        <v>7.3138351699999991</v>
      </c>
      <c r="P74" s="34">
        <f>SUM(D74:O74)</f>
        <v>86.128608709999995</v>
      </c>
      <c r="R74" s="57"/>
    </row>
    <row r="75" spans="2:21" s="3" customFormat="1" ht="18" customHeight="1" thickTop="1" thickBot="1">
      <c r="B75" s="261"/>
      <c r="C75" s="29" t="s">
        <v>60</v>
      </c>
      <c r="D75" s="34">
        <v>0.26213565999999999</v>
      </c>
      <c r="E75" s="34">
        <v>0.13369762000000002</v>
      </c>
      <c r="F75" s="34">
        <v>0.13148864999999998</v>
      </c>
      <c r="G75" s="34">
        <v>0.33083313999999997</v>
      </c>
      <c r="H75" s="34">
        <v>6.5599940000000023E-2</v>
      </c>
      <c r="I75" s="34">
        <v>0.37492396999999983</v>
      </c>
      <c r="J75" s="34">
        <v>0.46145691000000005</v>
      </c>
      <c r="K75" s="34">
        <v>0.17462674000000003</v>
      </c>
      <c r="L75" s="34">
        <v>0.13548848000000002</v>
      </c>
      <c r="M75" s="34">
        <v>0.13463127</v>
      </c>
      <c r="N75" s="34">
        <v>7.9192380000000007E-2</v>
      </c>
      <c r="O75" s="34">
        <v>0.1637134400000001</v>
      </c>
      <c r="P75" s="34">
        <f>SUM(D75:O75)</f>
        <v>2.4477881999999997</v>
      </c>
      <c r="R75" s="57"/>
    </row>
    <row r="76" spans="2:21" s="3" customFormat="1" ht="18" customHeight="1" thickTop="1" thickBot="1">
      <c r="B76" s="261"/>
      <c r="C76" s="29" t="s">
        <v>139</v>
      </c>
      <c r="D76" s="34">
        <f t="shared" ref="D76:P76" si="14">+D73+D74+D75</f>
        <v>15.860867790000002</v>
      </c>
      <c r="E76" s="34">
        <f t="shared" si="14"/>
        <v>9.1173502199999987</v>
      </c>
      <c r="F76" s="52">
        <f t="shared" si="14"/>
        <v>16.697622330000002</v>
      </c>
      <c r="G76" s="52">
        <f t="shared" si="14"/>
        <v>10.6583352</v>
      </c>
      <c r="H76" s="52">
        <f t="shared" si="14"/>
        <v>12.948417339999999</v>
      </c>
      <c r="I76" s="52">
        <f t="shared" si="14"/>
        <v>13.902054939999999</v>
      </c>
      <c r="J76" s="52">
        <f t="shared" si="14"/>
        <v>12.832195349999997</v>
      </c>
      <c r="K76" s="52">
        <f t="shared" si="14"/>
        <v>8.9279931999999995</v>
      </c>
      <c r="L76" s="52">
        <f t="shared" si="14"/>
        <v>10.745808400000001</v>
      </c>
      <c r="M76" s="52">
        <f t="shared" si="14"/>
        <v>11.776034249999999</v>
      </c>
      <c r="N76" s="52">
        <f t="shared" si="14"/>
        <v>9.7418937200000002</v>
      </c>
      <c r="O76" s="52">
        <f t="shared" si="14"/>
        <v>19.875467839999995</v>
      </c>
      <c r="P76" s="34">
        <f t="shared" si="14"/>
        <v>153.08404057999999</v>
      </c>
      <c r="R76" s="46">
        <f>+D76+E76+F76+G76</f>
        <v>52.334175540000004</v>
      </c>
    </row>
    <row r="77" spans="2:21" s="3" customFormat="1" ht="18" customHeight="1" thickTop="1" thickBot="1">
      <c r="B77" s="261"/>
      <c r="C77" s="32" t="s">
        <v>67</v>
      </c>
      <c r="D77" s="35">
        <f>+(D76-'Impo 2014'!D76)/'Impo 2014'!D76</f>
        <v>0.39733634725405631</v>
      </c>
      <c r="E77" s="35">
        <f>+(E76-'Impo 2014'!E76)/'Impo 2014'!E76</f>
        <v>2.4243173134942557E-2</v>
      </c>
      <c r="F77" s="35">
        <f>+(F76-'Impo 2014'!F76)/'Impo 2014'!F76</f>
        <v>0.26995219888549254</v>
      </c>
      <c r="G77" s="35">
        <f>+(G76-'Impo 2014'!G76)/'Impo 2014'!G76</f>
        <v>-0.15875463702091272</v>
      </c>
      <c r="H77" s="35">
        <f>+(H76-'Impo 2014'!H76)/'Impo 2014'!H76</f>
        <v>-5.7366746686137685E-2</v>
      </c>
      <c r="I77" s="35">
        <f>+(I76-'Impo 2014'!I76)/'Impo 2014'!I76</f>
        <v>0.19797619895249677</v>
      </c>
      <c r="J77" s="35">
        <f>+(J76-'Impo 2014'!J76)/'Impo 2014'!J76</f>
        <v>-0.12129014339452839</v>
      </c>
      <c r="K77" s="35">
        <f>+(K76-'Impo 2014'!K76)/'Impo 2014'!K76</f>
        <v>-0.21129565902727737</v>
      </c>
      <c r="L77" s="35">
        <f>+(L76-'Impo 2014'!L76)/'Impo 2014'!L76</f>
        <v>-0.3914352747758425</v>
      </c>
      <c r="M77" s="35">
        <f>+(M76-'Impo 2014'!M76)/'Impo 2014'!M76</f>
        <v>-9.8236303744826059E-2</v>
      </c>
      <c r="N77" s="35">
        <f>+(N76-'Impo 2014'!N76)/'Impo 2014'!N76</f>
        <v>0.16570418141682372</v>
      </c>
      <c r="O77" s="35">
        <f>+(O76-'Impo 2014'!O76)/'Impo 2014'!O76</f>
        <v>1.2529595060776582</v>
      </c>
      <c r="P77" s="35">
        <f>+(P76-'Impo 2014'!P76)/'Impo 2014'!P76</f>
        <v>5.4078994028147601E-2</v>
      </c>
      <c r="R77" s="14"/>
    </row>
    <row r="78" spans="2:21" s="3" customFormat="1" ht="18" customHeight="1" thickTop="1" thickBot="1">
      <c r="B78" s="261" t="s">
        <v>3</v>
      </c>
      <c r="C78" s="31" t="s">
        <v>65</v>
      </c>
      <c r="D78" s="34">
        <v>18.465959800000007</v>
      </c>
      <c r="E78" s="34">
        <v>3.4980232199999994</v>
      </c>
      <c r="F78" s="34">
        <v>33.370890359999997</v>
      </c>
      <c r="G78" s="34">
        <v>9.669730659999999</v>
      </c>
      <c r="H78" s="34">
        <v>4.2310085900000001</v>
      </c>
      <c r="I78" s="34">
        <v>14.249806279999998</v>
      </c>
      <c r="J78" s="34">
        <v>4.8109302700000018</v>
      </c>
      <c r="K78" s="34">
        <v>16.095700919999999</v>
      </c>
      <c r="L78" s="34">
        <v>21.654830899999997</v>
      </c>
      <c r="M78" s="34">
        <v>40.196140620000001</v>
      </c>
      <c r="N78" s="34">
        <v>35.094577730000005</v>
      </c>
      <c r="O78" s="34">
        <v>1.24875194</v>
      </c>
      <c r="P78" s="34">
        <f>SUM(D78:O78)</f>
        <v>202.58635129000001</v>
      </c>
      <c r="Q78" s="2"/>
      <c r="R78" s="57"/>
      <c r="S78" s="2"/>
      <c r="T78" s="2"/>
      <c r="U78" s="2"/>
    </row>
    <row r="79" spans="2:21" s="3" customFormat="1" ht="18" customHeight="1" thickTop="1" thickBot="1">
      <c r="B79" s="261"/>
      <c r="C79" s="29" t="s">
        <v>59</v>
      </c>
      <c r="D79" s="34">
        <v>64.077396579999998</v>
      </c>
      <c r="E79" s="34">
        <v>41.021785609999988</v>
      </c>
      <c r="F79" s="34">
        <v>55.225776739999993</v>
      </c>
      <c r="G79" s="34">
        <v>9.2960933599999986</v>
      </c>
      <c r="H79" s="34">
        <v>5.7846750699999987</v>
      </c>
      <c r="I79" s="34">
        <v>6.1694520499999985</v>
      </c>
      <c r="J79" s="34">
        <v>10.813340479999999</v>
      </c>
      <c r="K79" s="34">
        <v>3.5530099899999996</v>
      </c>
      <c r="L79" s="34">
        <v>11.300644240000004</v>
      </c>
      <c r="M79" s="34">
        <v>21.197484850000002</v>
      </c>
      <c r="N79" s="34">
        <v>23.940778069999997</v>
      </c>
      <c r="O79" s="34">
        <v>35.668447409999992</v>
      </c>
      <c r="P79" s="34">
        <f>SUM(D79:O79)</f>
        <v>288.04888444999989</v>
      </c>
      <c r="Q79" s="2"/>
      <c r="R79" s="57"/>
      <c r="S79" s="2"/>
      <c r="T79" s="2"/>
      <c r="U79" s="2"/>
    </row>
    <row r="80" spans="2:21" s="3" customFormat="1" ht="18" customHeight="1" thickTop="1" thickBot="1">
      <c r="B80" s="261"/>
      <c r="C80" s="29" t="s">
        <v>60</v>
      </c>
      <c r="D80" s="34">
        <v>349.42596968000009</v>
      </c>
      <c r="E80" s="34">
        <v>21.241434029999994</v>
      </c>
      <c r="F80" s="34">
        <v>10.74192925</v>
      </c>
      <c r="G80" s="34">
        <v>11.420732590000005</v>
      </c>
      <c r="H80" s="34">
        <v>8.4325762300000005</v>
      </c>
      <c r="I80" s="34">
        <v>7.7434282699999999</v>
      </c>
      <c r="J80" s="34">
        <v>7.8549320800000002</v>
      </c>
      <c r="K80" s="34">
        <v>5.3703779599999999</v>
      </c>
      <c r="L80" s="34">
        <v>9.2472220500000031</v>
      </c>
      <c r="M80" s="34">
        <v>10.06202764</v>
      </c>
      <c r="N80" s="34">
        <v>5.3571223499999983</v>
      </c>
      <c r="O80" s="34">
        <v>18.709776230000003</v>
      </c>
      <c r="P80" s="34">
        <f>SUM(D80:O80)</f>
        <v>465.60752836000006</v>
      </c>
      <c r="Q80" s="2"/>
      <c r="R80" s="57"/>
      <c r="S80" s="2"/>
      <c r="T80" s="2"/>
      <c r="U80" s="2"/>
    </row>
    <row r="81" spans="2:21" s="3" customFormat="1" ht="18" customHeight="1" thickTop="1" thickBot="1">
      <c r="B81" s="261"/>
      <c r="C81" s="29" t="s">
        <v>139</v>
      </c>
      <c r="D81" s="34">
        <f t="shared" ref="D81:O81" si="15">+D78+D79+D80</f>
        <v>431.96932606000007</v>
      </c>
      <c r="E81" s="34">
        <f t="shared" si="15"/>
        <v>65.761242859999982</v>
      </c>
      <c r="F81" s="52">
        <f t="shared" si="15"/>
        <v>99.338596349999989</v>
      </c>
      <c r="G81" s="52">
        <f t="shared" si="15"/>
        <v>30.386556610000007</v>
      </c>
      <c r="H81" s="52">
        <f t="shared" si="15"/>
        <v>18.448259889999999</v>
      </c>
      <c r="I81" s="52">
        <f t="shared" si="15"/>
        <v>28.162686599999997</v>
      </c>
      <c r="J81" s="52">
        <f t="shared" si="15"/>
        <v>23.479202830000002</v>
      </c>
      <c r="K81" s="52">
        <f t="shared" si="15"/>
        <v>25.019088869999997</v>
      </c>
      <c r="L81" s="52">
        <f t="shared" si="15"/>
        <v>42.202697190000009</v>
      </c>
      <c r="M81" s="52">
        <f t="shared" si="15"/>
        <v>71.45565311</v>
      </c>
      <c r="N81" s="52">
        <f t="shared" si="15"/>
        <v>64.392478150000002</v>
      </c>
      <c r="O81" s="52">
        <f t="shared" si="15"/>
        <v>55.626975579999993</v>
      </c>
      <c r="P81" s="34">
        <f>+P78+P79+P80</f>
        <v>956.24276409999993</v>
      </c>
      <c r="Q81" s="2"/>
      <c r="R81" s="46">
        <f>+D81+E81+F81+G81</f>
        <v>627.45572187999994</v>
      </c>
      <c r="S81" s="2"/>
      <c r="T81" s="2"/>
      <c r="U81" s="2"/>
    </row>
    <row r="82" spans="2:21" s="3" customFormat="1" ht="18" customHeight="1" thickTop="1" thickBot="1">
      <c r="B82" s="261"/>
      <c r="C82" s="32" t="s">
        <v>67</v>
      </c>
      <c r="D82" s="35">
        <f>+(D81-'Impo 2014'!D81)/'Impo 2014'!D81</f>
        <v>4.9714578984836484</v>
      </c>
      <c r="E82" s="35">
        <f>+(E81-'Impo 2014'!E81)/'Impo 2014'!E81</f>
        <v>-0.26321503331717594</v>
      </c>
      <c r="F82" s="35">
        <f>+(F81-'Impo 2014'!F81)/'Impo 2014'!F81</f>
        <v>-0.23841966102718781</v>
      </c>
      <c r="G82" s="35">
        <f>+(G81-'Impo 2014'!G81)/'Impo 2014'!G81</f>
        <v>-0.30329783803939653</v>
      </c>
      <c r="H82" s="35">
        <f>+(H81-'Impo 2014'!H81)/'Impo 2014'!H81</f>
        <v>-0.56253734564266589</v>
      </c>
      <c r="I82" s="35">
        <f>+(I81-'Impo 2014'!I81)/'Impo 2014'!I81</f>
        <v>-6.9791485880690549E-2</v>
      </c>
      <c r="J82" s="35">
        <f>+(J81-'Impo 2014'!J81)/'Impo 2014'!J81</f>
        <v>-0.35129142249853351</v>
      </c>
      <c r="K82" s="35">
        <f>+(K81-'Impo 2014'!K81)/'Impo 2014'!K81</f>
        <v>-0.56116729216148598</v>
      </c>
      <c r="L82" s="35">
        <f>+(L81-'Impo 2014'!L81)/'Impo 2014'!L81</f>
        <v>-0.26050776120458424</v>
      </c>
      <c r="M82" s="35">
        <f>+(M81-'Impo 2014'!M81)/'Impo 2014'!M81</f>
        <v>-4.549711247822967E-2</v>
      </c>
      <c r="N82" s="35">
        <f>+(N81-'Impo 2014'!N81)/'Impo 2014'!N81</f>
        <v>0.39975682714231059</v>
      </c>
      <c r="O82" s="35">
        <f>+(O81-'Impo 2014'!O81)/'Impo 2014'!O81</f>
        <v>5.7579897087839484E-2</v>
      </c>
      <c r="P82" s="35">
        <f>+(P81-'Impo 2014'!P81)/'Impo 2014'!P81</f>
        <v>0.30664357021360028</v>
      </c>
      <c r="Q82" s="2"/>
      <c r="R82" s="14"/>
      <c r="S82" s="2"/>
      <c r="T82" s="2"/>
      <c r="U82" s="2"/>
    </row>
    <row r="83" spans="2:21" ht="18" customHeight="1" thickTop="1" thickBot="1">
      <c r="B83" s="261" t="s">
        <v>61</v>
      </c>
      <c r="C83" s="31" t="s">
        <v>65</v>
      </c>
      <c r="D83" s="34">
        <f t="shared" ref="D83:P83" si="16">+D3+D13+D18+D23+D28+D63+D33+D38+D43+D53+D58+D68+D73+D78+D8+D48</f>
        <v>727.60211609199996</v>
      </c>
      <c r="E83" s="34">
        <f t="shared" si="16"/>
        <v>622.69954833700012</v>
      </c>
      <c r="F83" s="34">
        <f t="shared" si="16"/>
        <v>652.554158863</v>
      </c>
      <c r="G83" s="34">
        <f t="shared" si="16"/>
        <v>710.48734600299997</v>
      </c>
      <c r="H83" s="34">
        <f t="shared" si="16"/>
        <v>605.46846191700013</v>
      </c>
      <c r="I83" s="34">
        <f t="shared" si="16"/>
        <v>591.29584160000013</v>
      </c>
      <c r="J83" s="34">
        <f t="shared" si="16"/>
        <v>666.25609901199994</v>
      </c>
      <c r="K83" s="34">
        <f t="shared" si="16"/>
        <v>598.56878177900012</v>
      </c>
      <c r="L83" s="34">
        <f t="shared" si="16"/>
        <v>699.64650697799993</v>
      </c>
      <c r="M83" s="34">
        <f t="shared" si="16"/>
        <v>615.15124154700015</v>
      </c>
      <c r="N83" s="34">
        <f t="shared" si="16"/>
        <v>567.92217583500019</v>
      </c>
      <c r="O83" s="34">
        <f t="shared" si="16"/>
        <v>523.0677433343335</v>
      </c>
      <c r="P83" s="34">
        <f t="shared" si="16"/>
        <v>7580.7200212973339</v>
      </c>
      <c r="Q83" s="5"/>
      <c r="R83" s="57"/>
      <c r="S83" s="3"/>
      <c r="T83" s="3"/>
      <c r="U83" s="3"/>
    </row>
    <row r="84" spans="2:21" ht="18" customHeight="1" thickTop="1" thickBot="1">
      <c r="B84" s="261"/>
      <c r="C84" s="29" t="s">
        <v>59</v>
      </c>
      <c r="D84" s="34">
        <f t="shared" ref="D84:P84" si="17">+D4+D14+D19+D24+D29+D64+D34+D39+D44+D54+D59+D69+D74+D79+D9+D49</f>
        <v>1448.2610107709997</v>
      </c>
      <c r="E84" s="34">
        <f t="shared" si="17"/>
        <v>1463.874116425</v>
      </c>
      <c r="F84" s="34">
        <f t="shared" si="17"/>
        <v>1590.1573643749998</v>
      </c>
      <c r="G84" s="34">
        <f t="shared" si="17"/>
        <v>1452.1121530500002</v>
      </c>
      <c r="H84" s="34">
        <f t="shared" si="17"/>
        <v>1494.0455652619999</v>
      </c>
      <c r="I84" s="34">
        <f t="shared" si="17"/>
        <v>1484.7748224240001</v>
      </c>
      <c r="J84" s="34">
        <f t="shared" si="17"/>
        <v>1528.6318988399996</v>
      </c>
      <c r="K84" s="34">
        <f t="shared" si="17"/>
        <v>1336.7637999479998</v>
      </c>
      <c r="L84" s="34">
        <f t="shared" si="17"/>
        <v>1410.8298760070002</v>
      </c>
      <c r="M84" s="34">
        <f t="shared" si="17"/>
        <v>1383.719438311</v>
      </c>
      <c r="N84" s="34">
        <f t="shared" si="17"/>
        <v>1169.0621795090003</v>
      </c>
      <c r="O84" s="34">
        <f t="shared" si="17"/>
        <v>1255.2391905213333</v>
      </c>
      <c r="P84" s="34">
        <f t="shared" si="17"/>
        <v>17017.471415443331</v>
      </c>
      <c r="Q84" s="5"/>
      <c r="R84" s="57"/>
      <c r="S84" s="3"/>
      <c r="T84" s="3"/>
      <c r="U84" s="3"/>
    </row>
    <row r="85" spans="2:21" ht="18" customHeight="1" thickTop="1" thickBot="1">
      <c r="B85" s="261"/>
      <c r="C85" s="29" t="s">
        <v>60</v>
      </c>
      <c r="D85" s="34">
        <f t="shared" ref="D85:P85" si="18">+D5+D15+D20+D25+D30+D65+D35+D40+D45+D55+D60+D70+D75+D80+D10+D50</f>
        <v>400.74073077000008</v>
      </c>
      <c r="E85" s="34">
        <f t="shared" si="18"/>
        <v>74.274483571999994</v>
      </c>
      <c r="F85" s="34">
        <f t="shared" si="18"/>
        <v>59.400592565000004</v>
      </c>
      <c r="G85" s="34">
        <f t="shared" si="18"/>
        <v>74.447724733000044</v>
      </c>
      <c r="H85" s="34">
        <f t="shared" si="18"/>
        <v>41.552868744999991</v>
      </c>
      <c r="I85" s="34">
        <f t="shared" si="18"/>
        <v>47.470722293000009</v>
      </c>
      <c r="J85" s="34">
        <f t="shared" si="18"/>
        <v>51.946974932000018</v>
      </c>
      <c r="K85" s="34">
        <f t="shared" si="18"/>
        <v>47.313999262000017</v>
      </c>
      <c r="L85" s="34">
        <f t="shared" si="18"/>
        <v>48.371417762</v>
      </c>
      <c r="M85" s="34">
        <f t="shared" si="18"/>
        <v>47.742492597000016</v>
      </c>
      <c r="N85" s="34">
        <f t="shared" si="18"/>
        <v>43.545675560999996</v>
      </c>
      <c r="O85" s="34">
        <f t="shared" si="18"/>
        <v>52.024023646333333</v>
      </c>
      <c r="P85" s="34">
        <f t="shared" si="18"/>
        <v>988.83170643833364</v>
      </c>
      <c r="Q85" s="5"/>
      <c r="R85" s="57"/>
      <c r="S85" s="3"/>
      <c r="T85" s="3"/>
      <c r="U85" s="3"/>
    </row>
    <row r="86" spans="2:21" ht="18" customHeight="1" thickTop="1" thickBot="1">
      <c r="B86" s="261"/>
      <c r="C86" s="29" t="s">
        <v>139</v>
      </c>
      <c r="D86" s="34">
        <f>+D83+D84+D85</f>
        <v>2576.6038576329997</v>
      </c>
      <c r="E86" s="34">
        <f t="shared" ref="E86:O86" si="19">+E83+E84+E85</f>
        <v>2160.8481483340001</v>
      </c>
      <c r="F86" s="34">
        <f t="shared" si="19"/>
        <v>2302.1121158029996</v>
      </c>
      <c r="G86" s="34">
        <f t="shared" si="19"/>
        <v>2237.0472237860004</v>
      </c>
      <c r="H86" s="34">
        <f t="shared" si="19"/>
        <v>2141.0668959240002</v>
      </c>
      <c r="I86" s="34">
        <f t="shared" si="19"/>
        <v>2123.5413863170006</v>
      </c>
      <c r="J86" s="34">
        <f t="shared" si="19"/>
        <v>2246.8349727839995</v>
      </c>
      <c r="K86" s="34">
        <f t="shared" si="19"/>
        <v>1982.6465809889999</v>
      </c>
      <c r="L86" s="34">
        <f t="shared" si="19"/>
        <v>2158.8478007469998</v>
      </c>
      <c r="M86" s="34">
        <f t="shared" si="19"/>
        <v>2046.613172455</v>
      </c>
      <c r="N86" s="34">
        <f t="shared" si="19"/>
        <v>1780.5300309050006</v>
      </c>
      <c r="O86" s="34">
        <f t="shared" si="19"/>
        <v>1830.330957502</v>
      </c>
      <c r="P86" s="34">
        <f>+P83+P84+P85</f>
        <v>25587.023143178998</v>
      </c>
      <c r="Q86" s="5"/>
      <c r="R86" s="46">
        <f>+D86+E86+F86+G86</f>
        <v>9276.6113455560007</v>
      </c>
      <c r="S86" s="3"/>
      <c r="T86" s="3"/>
      <c r="U86" s="3"/>
    </row>
    <row r="87" spans="2:21" ht="18" customHeight="1" thickTop="1" thickBot="1">
      <c r="B87" s="261"/>
      <c r="C87" s="32" t="s">
        <v>67</v>
      </c>
      <c r="D87" s="35">
        <f>+(D86-'Impo 2014'!D86)/'Impo 2014'!D86</f>
        <v>0.28499813556602338</v>
      </c>
      <c r="E87" s="35">
        <f>+(E86-'Impo 2014'!E86)/'Impo 2014'!E86</f>
        <v>0.18338316196819687</v>
      </c>
      <c r="F87" s="35">
        <f>+(F86-'Impo 2014'!F86)/'Impo 2014'!F86</f>
        <v>0.11389546789650497</v>
      </c>
      <c r="G87" s="35">
        <f>+(G86-'Impo 2014'!G86)/'Impo 2014'!G86</f>
        <v>1.2184526413169152E-3</v>
      </c>
      <c r="H87" s="35">
        <f>+(H86-'Impo 2014'!H86)/'Impo 2014'!H86</f>
        <v>-5.8028000897116204E-2</v>
      </c>
      <c r="I87" s="35">
        <f>+(I86-'Impo 2014'!I86)/'Impo 2014'!I86</f>
        <v>4.7026955688088699E-2</v>
      </c>
      <c r="J87" s="35">
        <f>+(J86-'Impo 2014'!J86)/'Impo 2014'!J86</f>
        <v>-7.7423701832811896E-4</v>
      </c>
      <c r="K87" s="35">
        <f>+(K86-'Impo 2014'!K86)/'Impo 2014'!K86</f>
        <v>-7.48403796859166E-2</v>
      </c>
      <c r="L87" s="35">
        <f>+(L86-'Impo 2014'!L86)/'Impo 2014'!L86</f>
        <v>-0.16646092165988613</v>
      </c>
      <c r="M87" s="35">
        <f>+(M86-'Impo 2014'!M86)/'Impo 2014'!M86</f>
        <v>-0.10358456645035212</v>
      </c>
      <c r="N87" s="35">
        <f>+(N86-'Impo 2014'!N86)/'Impo 2014'!N86</f>
        <v>-7.7013790458251769E-2</v>
      </c>
      <c r="O87" s="35">
        <f>+(O86-'Impo 2014'!O86)/'Impo 2014'!O86</f>
        <v>4.6140979228027536E-3</v>
      </c>
      <c r="P87" s="35">
        <f>+(P86-'Impo 2014'!P86)/'Impo 2014'!P86</f>
        <v>3.5110232116798257E-2</v>
      </c>
      <c r="Q87" s="6"/>
      <c r="R87" s="14"/>
    </row>
    <row r="88" spans="2:21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2"/>
      <c r="Q88" s="2"/>
      <c r="R88" s="2"/>
      <c r="S88" s="2"/>
      <c r="T88" s="2"/>
      <c r="U88" s="2"/>
    </row>
    <row r="89" spans="2:21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2"/>
      <c r="Q89" s="2"/>
      <c r="R89" s="2"/>
      <c r="S89" s="2"/>
      <c r="T89" s="2"/>
      <c r="U89" s="2"/>
    </row>
    <row r="90" spans="2:21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2"/>
      <c r="Q90" s="2"/>
      <c r="R90" s="2"/>
      <c r="S90" s="2"/>
      <c r="T90" s="2"/>
      <c r="U90" s="2"/>
    </row>
    <row r="91" spans="2:21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7">
        <f>D83+E83+F83+G83</f>
        <v>2713.3431692949998</v>
      </c>
      <c r="J91" s="7"/>
      <c r="K91" s="2"/>
      <c r="L91" s="2"/>
      <c r="M91" s="2"/>
      <c r="N91" s="2"/>
      <c r="O91" s="1"/>
      <c r="P91" s="2"/>
      <c r="Q91" s="2"/>
      <c r="R91" s="2"/>
      <c r="S91" s="2"/>
      <c r="T91" s="2"/>
      <c r="U91" s="2"/>
    </row>
    <row r="92" spans="2:21" ht="18" customHeight="1">
      <c r="B92" s="36" t="s">
        <v>92</v>
      </c>
      <c r="I92" s="7">
        <f>D84+E84+F84+G84</f>
        <v>5954.4046446209995</v>
      </c>
    </row>
    <row r="93" spans="2:21">
      <c r="I93" s="7">
        <f>D85+E85+F85+G85</f>
        <v>608.86353164000013</v>
      </c>
    </row>
    <row r="94" spans="2:21">
      <c r="I94" s="7">
        <f>D86+E86+F86+G86</f>
        <v>9276.6113455560007</v>
      </c>
    </row>
    <row r="95" spans="2:21">
      <c r="I95" s="7"/>
    </row>
  </sheetData>
  <mergeCells count="17">
    <mergeCell ref="B3:B7"/>
    <mergeCell ref="B13:B17"/>
    <mergeCell ref="B18:B22"/>
    <mergeCell ref="B23:B27"/>
    <mergeCell ref="B28:B32"/>
    <mergeCell ref="B8:B12"/>
    <mergeCell ref="B33:B37"/>
    <mergeCell ref="B38:B42"/>
    <mergeCell ref="B43:B47"/>
    <mergeCell ref="B53:B57"/>
    <mergeCell ref="B58:B62"/>
    <mergeCell ref="B48:B52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R92"/>
  <sheetViews>
    <sheetView zoomScale="80" zoomScaleNormal="80" workbookViewId="0">
      <pane xSplit="3" ySplit="2" topLeftCell="N53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18" s="8" customFormat="1" ht="38.25" customHeight="1" thickBot="1">
      <c r="B1" s="22" t="s">
        <v>144</v>
      </c>
      <c r="O1" s="9"/>
      <c r="P1" s="87" t="s">
        <v>111</v>
      </c>
    </row>
    <row r="2" spans="2:18" ht="30" customHeight="1" thickTop="1">
      <c r="B2" s="33" t="s">
        <v>36</v>
      </c>
      <c r="C2" s="21" t="s">
        <v>23</v>
      </c>
      <c r="D2" s="51" t="s">
        <v>27</v>
      </c>
      <c r="E2" s="51" t="s">
        <v>28</v>
      </c>
      <c r="F2" s="51" t="s">
        <v>26</v>
      </c>
      <c r="G2" s="51" t="s">
        <v>22</v>
      </c>
      <c r="H2" s="51" t="s">
        <v>29</v>
      </c>
      <c r="I2" s="51" t="s">
        <v>30</v>
      </c>
      <c r="J2" s="51" t="s">
        <v>31</v>
      </c>
      <c r="K2" s="51" t="s">
        <v>32</v>
      </c>
      <c r="L2" s="51" t="s">
        <v>33</v>
      </c>
      <c r="M2" s="51" t="s">
        <v>24</v>
      </c>
      <c r="N2" s="51" t="s">
        <v>34</v>
      </c>
      <c r="O2" s="51" t="s">
        <v>35</v>
      </c>
      <c r="P2" s="51" t="s">
        <v>25</v>
      </c>
    </row>
    <row r="3" spans="2:18" ht="18" customHeight="1" thickBot="1">
      <c r="B3" s="259" t="s">
        <v>0</v>
      </c>
      <c r="C3" s="29" t="s">
        <v>65</v>
      </c>
      <c r="D3" s="34">
        <v>37.654698030000006</v>
      </c>
      <c r="E3" s="34">
        <v>30.873752459999999</v>
      </c>
      <c r="F3" s="34">
        <v>23.540407210000005</v>
      </c>
      <c r="G3" s="34">
        <v>31.454945709999997</v>
      </c>
      <c r="H3" s="34">
        <v>32.855614820000007</v>
      </c>
      <c r="I3" s="34">
        <v>29.351978749999997</v>
      </c>
      <c r="J3" s="34">
        <v>16.990694699999999</v>
      </c>
      <c r="K3" s="34">
        <v>29.530661359999996</v>
      </c>
      <c r="L3" s="34">
        <v>21.005263599999999</v>
      </c>
      <c r="M3" s="34">
        <v>33.307378450000002</v>
      </c>
      <c r="N3" s="34">
        <v>9.0620938000000013</v>
      </c>
      <c r="O3" s="34">
        <v>26.028202820000004</v>
      </c>
      <c r="P3" s="34">
        <f>+SUM(D3:O3)</f>
        <v>321.65569171000004</v>
      </c>
      <c r="R3" s="14"/>
    </row>
    <row r="4" spans="2:18" ht="18" customHeight="1" thickTop="1" thickBot="1">
      <c r="B4" s="260"/>
      <c r="C4" s="29" t="s">
        <v>59</v>
      </c>
      <c r="D4" s="34">
        <v>34.595637519999997</v>
      </c>
      <c r="E4" s="34">
        <v>52.883617189999988</v>
      </c>
      <c r="F4" s="34">
        <v>44.006685680000004</v>
      </c>
      <c r="G4" s="34">
        <v>34.579925510000002</v>
      </c>
      <c r="H4" s="34">
        <v>28.918472449999996</v>
      </c>
      <c r="I4" s="34">
        <v>37.279320540000001</v>
      </c>
      <c r="J4" s="34">
        <v>38.42752454</v>
      </c>
      <c r="K4" s="34">
        <v>18.195467530000002</v>
      </c>
      <c r="L4" s="34">
        <v>24.636436380000003</v>
      </c>
      <c r="M4" s="34">
        <v>33.176648149999998</v>
      </c>
      <c r="N4" s="34">
        <v>20.274085249999995</v>
      </c>
      <c r="O4" s="34">
        <v>28.664503629999999</v>
      </c>
      <c r="P4" s="34">
        <f>+SUM(D4:O4)</f>
        <v>395.63832437000002</v>
      </c>
      <c r="R4" s="14"/>
    </row>
    <row r="5" spans="2:18" ht="18" customHeight="1" thickTop="1" thickBot="1">
      <c r="B5" s="260"/>
      <c r="C5" s="29" t="s">
        <v>60</v>
      </c>
      <c r="D5" s="34">
        <v>2.5543089900000004</v>
      </c>
      <c r="E5" s="34">
        <v>2.9419869800000003</v>
      </c>
      <c r="F5" s="34">
        <v>2.7664698599999995</v>
      </c>
      <c r="G5" s="34">
        <v>2.0398274399999998</v>
      </c>
      <c r="H5" s="34">
        <v>6.7832088600000002</v>
      </c>
      <c r="I5" s="34">
        <v>2.18208606</v>
      </c>
      <c r="J5" s="34">
        <v>4.0497049000000001</v>
      </c>
      <c r="K5" s="34">
        <v>3.9434419300000001</v>
      </c>
      <c r="L5" s="34">
        <v>7.3770979199999998</v>
      </c>
      <c r="M5" s="34">
        <v>2.9080748499999998</v>
      </c>
      <c r="N5" s="34">
        <v>3.63212606</v>
      </c>
      <c r="O5" s="34">
        <v>3.7615960099999999</v>
      </c>
      <c r="P5" s="34">
        <f>+SUM(D5:O5)</f>
        <v>44.939929859999985</v>
      </c>
      <c r="R5" s="14"/>
    </row>
    <row r="6" spans="2:18" ht="18" customHeight="1" thickTop="1" thickBot="1">
      <c r="B6" s="260"/>
      <c r="C6" s="29" t="s">
        <v>139</v>
      </c>
      <c r="D6" s="34">
        <f>+D3+D4+D5</f>
        <v>74.804644539999998</v>
      </c>
      <c r="E6" s="34">
        <f t="shared" ref="E6:P6" si="0">+E3+E4+E5</f>
        <v>86.699356629999983</v>
      </c>
      <c r="F6" s="34">
        <f t="shared" si="0"/>
        <v>70.313562750000017</v>
      </c>
      <c r="G6" s="34">
        <f t="shared" si="0"/>
        <v>68.074698659999996</v>
      </c>
      <c r="H6" s="34">
        <f t="shared" si="0"/>
        <v>68.557296129999997</v>
      </c>
      <c r="I6" s="34">
        <f t="shared" si="0"/>
        <v>68.813385350000004</v>
      </c>
      <c r="J6" s="34">
        <f t="shared" si="0"/>
        <v>59.467924140000001</v>
      </c>
      <c r="K6" s="34">
        <f t="shared" si="0"/>
        <v>51.669570819999997</v>
      </c>
      <c r="L6" s="34">
        <f t="shared" si="0"/>
        <v>53.018797899999996</v>
      </c>
      <c r="M6" s="34">
        <f t="shared" si="0"/>
        <v>69.392101449999998</v>
      </c>
      <c r="N6" s="34">
        <f t="shared" si="0"/>
        <v>32.968305109999996</v>
      </c>
      <c r="O6" s="34">
        <f t="shared" si="0"/>
        <v>58.454302460000001</v>
      </c>
      <c r="P6" s="34">
        <f t="shared" si="0"/>
        <v>762.23394594000013</v>
      </c>
      <c r="R6" s="46"/>
    </row>
    <row r="7" spans="2:18" ht="18" customHeight="1" thickTop="1" thickBot="1">
      <c r="B7" s="260"/>
      <c r="C7" s="32" t="s">
        <v>40</v>
      </c>
      <c r="D7" s="35">
        <v>6.1683346809563756E-2</v>
      </c>
      <c r="E7" s="35">
        <v>0.47225799145618869</v>
      </c>
      <c r="F7" s="35">
        <v>0.46906791626614774</v>
      </c>
      <c r="G7" s="35">
        <v>3.1300092429431277E-2</v>
      </c>
      <c r="H7" s="35">
        <v>-0.15622185002100633</v>
      </c>
      <c r="I7" s="35">
        <v>0.60542868146138273</v>
      </c>
      <c r="J7" s="35">
        <v>-7.4453810287172767E-2</v>
      </c>
      <c r="K7" s="35">
        <v>-0.22969635200365607</v>
      </c>
      <c r="L7" s="35">
        <v>-0.30504330160682031</v>
      </c>
      <c r="M7" s="35">
        <v>-0.13521341133904288</v>
      </c>
      <c r="N7" s="35">
        <v>-0.52625957630734677</v>
      </c>
      <c r="O7" s="35">
        <v>-0.12488279390811588</v>
      </c>
      <c r="P7" s="35">
        <v>-2.9555445749102072E-2</v>
      </c>
      <c r="R7" s="14"/>
    </row>
    <row r="8" spans="2:18" ht="18" customHeight="1" thickTop="1" thickBot="1">
      <c r="B8" s="260" t="s">
        <v>77</v>
      </c>
      <c r="C8" s="31" t="s">
        <v>65</v>
      </c>
      <c r="D8" s="34">
        <v>35.594383620000002</v>
      </c>
      <c r="E8" s="34">
        <v>28.663608899999996</v>
      </c>
      <c r="F8" s="34">
        <v>22.621371099999998</v>
      </c>
      <c r="G8" s="34">
        <v>21.883138940000002</v>
      </c>
      <c r="H8" s="34">
        <v>31.560782810000003</v>
      </c>
      <c r="I8" s="34">
        <v>29.535113680000002</v>
      </c>
      <c r="J8" s="34">
        <v>35.75977717</v>
      </c>
      <c r="K8" s="34">
        <v>32.858777400000001</v>
      </c>
      <c r="L8" s="34">
        <v>30.531434149999985</v>
      </c>
      <c r="M8" s="34">
        <v>31.08663523000002</v>
      </c>
      <c r="N8" s="34">
        <v>35.272881560000002</v>
      </c>
      <c r="O8" s="34">
        <v>39.230792000000015</v>
      </c>
      <c r="P8" s="34">
        <v>374.59869656000006</v>
      </c>
      <c r="R8" s="14"/>
    </row>
    <row r="9" spans="2:18" ht="18" customHeight="1" thickTop="1" thickBot="1">
      <c r="B9" s="260"/>
      <c r="C9" s="29" t="s">
        <v>59</v>
      </c>
      <c r="D9" s="34">
        <v>12.33284591</v>
      </c>
      <c r="E9" s="34">
        <v>13.075523850000003</v>
      </c>
      <c r="F9" s="34">
        <v>15.854096929999999</v>
      </c>
      <c r="G9" s="34">
        <v>9.6815059200000011</v>
      </c>
      <c r="H9" s="34">
        <v>11.506012589999999</v>
      </c>
      <c r="I9" s="34">
        <v>12.304202929999999</v>
      </c>
      <c r="J9" s="34">
        <v>13.75254947</v>
      </c>
      <c r="K9" s="34">
        <v>17.644343199999998</v>
      </c>
      <c r="L9" s="34">
        <v>22.270104699999994</v>
      </c>
      <c r="M9" s="34">
        <v>29.779077809999993</v>
      </c>
      <c r="N9" s="34">
        <v>14.831980489999999</v>
      </c>
      <c r="O9" s="34">
        <v>24.9694869</v>
      </c>
      <c r="P9" s="34">
        <v>198.0017307</v>
      </c>
      <c r="R9" s="14"/>
    </row>
    <row r="10" spans="2:18" ht="18" customHeight="1" thickTop="1" thickBot="1">
      <c r="B10" s="260"/>
      <c r="C10" s="29" t="s">
        <v>60</v>
      </c>
      <c r="D10" s="34">
        <v>2.5059055200000007</v>
      </c>
      <c r="E10" s="34">
        <v>1.4658317200000004</v>
      </c>
      <c r="F10" s="34">
        <v>2.3382397699999999</v>
      </c>
      <c r="G10" s="34">
        <v>1.4259481000000003</v>
      </c>
      <c r="H10" s="34">
        <v>1.5226579099999999</v>
      </c>
      <c r="I10" s="34">
        <v>2.2453539399999998</v>
      </c>
      <c r="J10" s="34">
        <v>1.3290576199999999</v>
      </c>
      <c r="K10" s="34">
        <v>2.4012420699999999</v>
      </c>
      <c r="L10" s="34">
        <v>2.3266994900000002</v>
      </c>
      <c r="M10" s="34">
        <v>6.0292930400000007</v>
      </c>
      <c r="N10" s="34">
        <v>2.1233303500000003</v>
      </c>
      <c r="O10" s="34">
        <v>2.5939401000000002</v>
      </c>
      <c r="P10" s="34">
        <v>28.307499630000002</v>
      </c>
      <c r="R10" s="14"/>
    </row>
    <row r="11" spans="2:18" ht="18" customHeight="1" thickTop="1" thickBot="1">
      <c r="B11" s="260"/>
      <c r="C11" s="29" t="s">
        <v>139</v>
      </c>
      <c r="D11" s="34">
        <v>50.433135050000004</v>
      </c>
      <c r="E11" s="34">
        <v>43.204964469999993</v>
      </c>
      <c r="F11" s="34">
        <v>40.813707799999996</v>
      </c>
      <c r="G11" s="34">
        <v>32.990592960000001</v>
      </c>
      <c r="H11" s="34">
        <v>44.589453310000003</v>
      </c>
      <c r="I11" s="34">
        <v>44.084670549999998</v>
      </c>
      <c r="J11" s="34">
        <v>50.841384259999998</v>
      </c>
      <c r="K11" s="34">
        <v>52.904362670000005</v>
      </c>
      <c r="L11" s="34">
        <v>55.128238339999982</v>
      </c>
      <c r="M11" s="34">
        <v>66.895006080000016</v>
      </c>
      <c r="N11" s="34">
        <v>52.228192400000005</v>
      </c>
      <c r="O11" s="34">
        <v>66.794219000000012</v>
      </c>
      <c r="P11" s="34">
        <v>600.90792689000011</v>
      </c>
      <c r="R11" s="46"/>
    </row>
    <row r="12" spans="2:18" ht="18" customHeight="1" thickTop="1" thickBot="1">
      <c r="B12" s="260"/>
      <c r="C12" s="32" t="s">
        <v>40</v>
      </c>
      <c r="D12" s="35">
        <v>0.24839951664817109</v>
      </c>
      <c r="E12" s="35">
        <v>9.1075901492507466E-2</v>
      </c>
      <c r="F12" s="35">
        <v>0.12128211775748299</v>
      </c>
      <c r="G12" s="35">
        <v>-2.8490256241172612E-2</v>
      </c>
      <c r="H12" s="35">
        <v>5.3947202596280538E-2</v>
      </c>
      <c r="I12" s="35">
        <v>0.26559580664063653</v>
      </c>
      <c r="J12" s="35">
        <v>4.427740612667877E-2</v>
      </c>
      <c r="K12" s="35">
        <v>0.24526544269195369</v>
      </c>
      <c r="L12" s="35">
        <v>0.42331062965442956</v>
      </c>
      <c r="M12" s="35">
        <v>0.51579873210267069</v>
      </c>
      <c r="N12" s="35">
        <v>9.5615529385852091E-2</v>
      </c>
      <c r="O12" s="35">
        <v>0.44122767873882013</v>
      </c>
      <c r="P12" s="35">
        <v>0.21262252700784279</v>
      </c>
      <c r="R12" s="14"/>
    </row>
    <row r="13" spans="2:18" ht="18" customHeight="1" thickTop="1" thickBot="1">
      <c r="B13" s="260" t="s">
        <v>42</v>
      </c>
      <c r="C13" s="31" t="s">
        <v>65</v>
      </c>
      <c r="D13" s="34">
        <v>144.584</v>
      </c>
      <c r="E13" s="34">
        <v>75.387400000000014</v>
      </c>
      <c r="F13" s="34">
        <v>90.622400000000013</v>
      </c>
      <c r="G13" s="34">
        <v>166.83150000000001</v>
      </c>
      <c r="H13" s="34">
        <v>123.18900000000001</v>
      </c>
      <c r="I13" s="34">
        <v>131.24539999999999</v>
      </c>
      <c r="J13" s="34">
        <v>148.17330000000001</v>
      </c>
      <c r="K13" s="34">
        <v>153.0309</v>
      </c>
      <c r="L13" s="34">
        <v>124.12180000000001</v>
      </c>
      <c r="M13" s="34">
        <v>132.44330000000002</v>
      </c>
      <c r="N13" s="34">
        <v>108.1883</v>
      </c>
      <c r="O13" s="34">
        <v>65.072699999999998</v>
      </c>
      <c r="P13" s="34">
        <v>1462.8899999999999</v>
      </c>
      <c r="R13" s="14"/>
    </row>
    <row r="14" spans="2:18" ht="18" customHeight="1" thickTop="1" thickBot="1">
      <c r="B14" s="260"/>
      <c r="C14" s="29" t="s">
        <v>59</v>
      </c>
      <c r="D14" s="34">
        <v>158.24270000000001</v>
      </c>
      <c r="E14" s="34">
        <v>160.1996</v>
      </c>
      <c r="F14" s="34">
        <v>221.08350000000004</v>
      </c>
      <c r="G14" s="34">
        <v>198.31129999999999</v>
      </c>
      <c r="H14" s="34">
        <v>292.67590000000007</v>
      </c>
      <c r="I14" s="34">
        <v>191.34390000000002</v>
      </c>
      <c r="J14" s="34">
        <v>259.4504</v>
      </c>
      <c r="K14" s="34">
        <v>217.7054</v>
      </c>
      <c r="L14" s="34">
        <v>251.64920000000001</v>
      </c>
      <c r="M14" s="34">
        <v>191.50780000000003</v>
      </c>
      <c r="N14" s="34">
        <v>174.5051</v>
      </c>
      <c r="O14" s="34">
        <v>141.76360000000003</v>
      </c>
      <c r="P14" s="34">
        <v>2458.4384000000005</v>
      </c>
      <c r="R14" s="14"/>
    </row>
    <row r="15" spans="2:18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v>0</v>
      </c>
      <c r="R15" s="14"/>
    </row>
    <row r="16" spans="2:18" ht="18" customHeight="1" thickTop="1" thickBot="1">
      <c r="B16" s="260"/>
      <c r="C16" s="29" t="s">
        <v>139</v>
      </c>
      <c r="D16" s="34">
        <v>302.82670000000002</v>
      </c>
      <c r="E16" s="34">
        <v>235.58700000000002</v>
      </c>
      <c r="F16" s="34">
        <v>311.70590000000004</v>
      </c>
      <c r="G16" s="34">
        <v>365.14279999999997</v>
      </c>
      <c r="H16" s="34">
        <v>415.86490000000009</v>
      </c>
      <c r="I16" s="34">
        <v>322.58929999999998</v>
      </c>
      <c r="J16" s="34">
        <v>407.62369999999999</v>
      </c>
      <c r="K16" s="34">
        <v>370.73630000000003</v>
      </c>
      <c r="L16" s="34">
        <v>375.77100000000002</v>
      </c>
      <c r="M16" s="34">
        <v>323.95110000000005</v>
      </c>
      <c r="N16" s="34">
        <v>282.6934</v>
      </c>
      <c r="O16" s="34">
        <v>206.83630000000002</v>
      </c>
      <c r="P16" s="34">
        <v>3921.3284000000003</v>
      </c>
      <c r="R16" s="46"/>
    </row>
    <row r="17" spans="2:18" ht="18" customHeight="1" thickTop="1" thickBot="1">
      <c r="B17" s="260"/>
      <c r="C17" s="32" t="s">
        <v>40</v>
      </c>
      <c r="D17" s="35">
        <v>0.11959654178674346</v>
      </c>
      <c r="E17" s="35">
        <v>-0.15329707681849081</v>
      </c>
      <c r="F17" s="35">
        <v>0.16193286610106986</v>
      </c>
      <c r="G17" s="35">
        <v>0.10746812386156659</v>
      </c>
      <c r="H17" s="35">
        <v>0.56285390713476802</v>
      </c>
      <c r="I17" s="35">
        <v>0.35498742665549027</v>
      </c>
      <c r="J17" s="35">
        <v>6.8730325288562405E-2</v>
      </c>
      <c r="K17" s="35">
        <v>0.1091936923534662</v>
      </c>
      <c r="L17" s="35">
        <v>3.3673751035053788E-2</v>
      </c>
      <c r="M17" s="35">
        <v>-0.19782082324455202</v>
      </c>
      <c r="N17" s="35">
        <v>-5.551905387647825E-2</v>
      </c>
      <c r="O17" s="35">
        <v>-3.535811423390757E-2</v>
      </c>
      <c r="P17" s="35">
        <v>7.3076298261764511E-2</v>
      </c>
      <c r="R17" s="14"/>
    </row>
    <row r="18" spans="2:18" ht="18" customHeight="1" thickTop="1" thickBot="1">
      <c r="B18" s="260" t="s">
        <v>1</v>
      </c>
      <c r="C18" s="31" t="s">
        <v>65</v>
      </c>
      <c r="D18" s="34">
        <v>33.651675359999992</v>
      </c>
      <c r="E18" s="34">
        <v>23.969349219999998</v>
      </c>
      <c r="F18" s="34">
        <v>25.99010298999999</v>
      </c>
      <c r="G18" s="34">
        <v>34.665240700000005</v>
      </c>
      <c r="H18" s="34">
        <v>29.634329999999999</v>
      </c>
      <c r="I18" s="34">
        <v>6.7668380500000005</v>
      </c>
      <c r="J18" s="34">
        <v>32.595572320000002</v>
      </c>
      <c r="K18" s="34">
        <v>45.336799030000009</v>
      </c>
      <c r="L18" s="34">
        <v>38.011584140000004</v>
      </c>
      <c r="M18" s="34">
        <v>29.861029000000002</v>
      </c>
      <c r="N18" s="34">
        <v>33.277196250000003</v>
      </c>
      <c r="O18" s="34">
        <v>22.560889569999997</v>
      </c>
      <c r="P18" s="34">
        <v>356.32060662999993</v>
      </c>
      <c r="R18" s="45"/>
    </row>
    <row r="19" spans="2:18" ht="18" customHeight="1" thickTop="1" thickBot="1">
      <c r="B19" s="260"/>
      <c r="C19" s="29" t="s">
        <v>59</v>
      </c>
      <c r="D19" s="34">
        <v>120.88889571000001</v>
      </c>
      <c r="E19" s="34">
        <v>55.447009919999999</v>
      </c>
      <c r="F19" s="34">
        <v>89.503657669999996</v>
      </c>
      <c r="G19" s="34">
        <v>135.60793794000003</v>
      </c>
      <c r="H19" s="34">
        <v>98.657180589999982</v>
      </c>
      <c r="I19" s="34">
        <v>98.500863410000008</v>
      </c>
      <c r="J19" s="34">
        <v>107.9858381</v>
      </c>
      <c r="K19" s="34">
        <v>81.964956569999998</v>
      </c>
      <c r="L19" s="34">
        <v>109.44749845999999</v>
      </c>
      <c r="M19" s="34">
        <v>63.818578769999988</v>
      </c>
      <c r="N19" s="34">
        <v>126.47568827999996</v>
      </c>
      <c r="O19" s="34">
        <v>85.946010870000038</v>
      </c>
      <c r="P19" s="34">
        <v>1174.2441162900002</v>
      </c>
      <c r="R19" s="14"/>
    </row>
    <row r="20" spans="2:18" ht="18" customHeight="1" thickTop="1" thickBot="1">
      <c r="B20" s="260"/>
      <c r="C20" s="29" t="s">
        <v>60</v>
      </c>
      <c r="D20" s="34">
        <v>2.2742784700000032</v>
      </c>
      <c r="E20" s="34">
        <v>2.0169495999999989</v>
      </c>
      <c r="F20" s="34">
        <v>1.7135702099999999</v>
      </c>
      <c r="G20" s="34">
        <v>3.0465121499999999</v>
      </c>
      <c r="H20" s="34">
        <v>4.8387984999999976</v>
      </c>
      <c r="I20" s="34">
        <v>3.8272331000000026</v>
      </c>
      <c r="J20" s="34">
        <v>2.2611602200000007</v>
      </c>
      <c r="K20" s="34">
        <v>2.0716356</v>
      </c>
      <c r="L20" s="34">
        <v>2.7787758699999987</v>
      </c>
      <c r="M20" s="34">
        <v>1.9250631699999996</v>
      </c>
      <c r="N20" s="34">
        <v>2.1382987699999996</v>
      </c>
      <c r="O20" s="34">
        <v>1.2395305600000004</v>
      </c>
      <c r="P20" s="34">
        <v>30.131806220000001</v>
      </c>
      <c r="R20" s="14"/>
    </row>
    <row r="21" spans="2:18" ht="18" customHeight="1" thickTop="1" thickBot="1">
      <c r="B21" s="260"/>
      <c r="C21" s="29" t="s">
        <v>139</v>
      </c>
      <c r="D21" s="34">
        <v>156.81484954000001</v>
      </c>
      <c r="E21" s="34">
        <v>81.433308740000001</v>
      </c>
      <c r="F21" s="34">
        <v>117.20733086999999</v>
      </c>
      <c r="G21" s="34">
        <v>173.31969079000004</v>
      </c>
      <c r="H21" s="34">
        <v>133.13030908999997</v>
      </c>
      <c r="I21" s="34">
        <v>109.09493456000001</v>
      </c>
      <c r="J21" s="34">
        <v>142.84257063999999</v>
      </c>
      <c r="K21" s="34">
        <v>129.37339120000001</v>
      </c>
      <c r="L21" s="34">
        <v>150.23785846999999</v>
      </c>
      <c r="M21" s="34">
        <v>95.604670939999991</v>
      </c>
      <c r="N21" s="34">
        <v>161.89118329999997</v>
      </c>
      <c r="O21" s="34">
        <v>109.74643100000004</v>
      </c>
      <c r="P21" s="34">
        <v>1560.6965291400002</v>
      </c>
      <c r="R21" s="14"/>
    </row>
    <row r="22" spans="2:18" ht="18" customHeight="1" thickTop="1" thickBot="1">
      <c r="B22" s="260"/>
      <c r="C22" s="32" t="s">
        <v>40</v>
      </c>
      <c r="D22" s="35">
        <v>0.81800778902386395</v>
      </c>
      <c r="E22" s="35">
        <v>-0.37254719453259283</v>
      </c>
      <c r="F22" s="35">
        <v>-3.1145412237268922E-3</v>
      </c>
      <c r="G22" s="35">
        <v>0.22647115256250872</v>
      </c>
      <c r="H22" s="35">
        <v>-0.1407800086455987</v>
      </c>
      <c r="I22" s="35">
        <v>-0.10816738569637616</v>
      </c>
      <c r="J22" s="35">
        <v>0.69187902121856448</v>
      </c>
      <c r="K22" s="35">
        <v>0.59555323882030509</v>
      </c>
      <c r="L22" s="35">
        <v>0.5636335576450483</v>
      </c>
      <c r="M22" s="35">
        <v>-0.46883780049568025</v>
      </c>
      <c r="N22" s="35">
        <v>0.61910244976950124</v>
      </c>
      <c r="O22" s="35">
        <v>-0.36201382777853575</v>
      </c>
      <c r="P22" s="35">
        <v>6.4744830407558462E-2</v>
      </c>
      <c r="R22" s="14"/>
    </row>
    <row r="23" spans="2:18" ht="18" customHeight="1" thickTop="1" thickBot="1">
      <c r="B23" s="260" t="s">
        <v>2</v>
      </c>
      <c r="C23" s="31" t="s">
        <v>65</v>
      </c>
      <c r="D23" s="34">
        <v>50.553843759999978</v>
      </c>
      <c r="E23" s="34">
        <v>51.174425069999998</v>
      </c>
      <c r="F23" s="34">
        <v>71.86127796000001</v>
      </c>
      <c r="G23" s="34">
        <v>69.851831770000004</v>
      </c>
      <c r="H23" s="34">
        <v>73.76576510000001</v>
      </c>
      <c r="I23" s="34">
        <v>84.076036450000004</v>
      </c>
      <c r="J23" s="34">
        <v>86.898520749999975</v>
      </c>
      <c r="K23" s="34">
        <v>85.272825639999994</v>
      </c>
      <c r="L23" s="34">
        <v>87.623090579999996</v>
      </c>
      <c r="M23" s="34">
        <v>102.68209689000001</v>
      </c>
      <c r="N23" s="34">
        <v>70.439909880000002</v>
      </c>
      <c r="O23" s="34">
        <v>62.894101309999989</v>
      </c>
      <c r="P23" s="34">
        <f>+SUM(D23:O23)</f>
        <v>897.09372515999996</v>
      </c>
      <c r="R23" s="14"/>
    </row>
    <row r="24" spans="2:18" ht="18" customHeight="1" thickTop="1" thickBot="1">
      <c r="B24" s="260"/>
      <c r="C24" s="29" t="s">
        <v>59</v>
      </c>
      <c r="D24" s="34">
        <v>154.88416913999998</v>
      </c>
      <c r="E24" s="34">
        <v>123.33019186000001</v>
      </c>
      <c r="F24" s="34">
        <v>108.53634495999999</v>
      </c>
      <c r="G24" s="34">
        <v>195.09486106</v>
      </c>
      <c r="H24" s="34">
        <v>129.11640555000002</v>
      </c>
      <c r="I24" s="34">
        <v>125.43748105000002</v>
      </c>
      <c r="J24" s="34">
        <v>158.60507368000003</v>
      </c>
      <c r="K24" s="34">
        <v>117.88508245000003</v>
      </c>
      <c r="L24" s="34">
        <v>76.978972560000003</v>
      </c>
      <c r="M24" s="34">
        <v>178.20119990999996</v>
      </c>
      <c r="N24" s="34">
        <v>90.483413210000009</v>
      </c>
      <c r="O24" s="34">
        <v>77.635308890000019</v>
      </c>
      <c r="P24" s="34">
        <f>+SUM(D24:O24)</f>
        <v>1536.1885043200002</v>
      </c>
      <c r="R24" s="14"/>
    </row>
    <row r="25" spans="2:18" ht="18" customHeight="1" thickTop="1" thickBot="1">
      <c r="B25" s="260"/>
      <c r="C25" s="29" t="s">
        <v>60</v>
      </c>
      <c r="D25" s="34">
        <v>16.366838039999998</v>
      </c>
      <c r="E25" s="34">
        <v>10.979672809999997</v>
      </c>
      <c r="F25" s="34">
        <v>20.537561619999995</v>
      </c>
      <c r="G25" s="34">
        <v>15.222999570000002</v>
      </c>
      <c r="H25" s="34">
        <v>34.010859680000024</v>
      </c>
      <c r="I25" s="34">
        <v>5.8988676999999985</v>
      </c>
      <c r="J25" s="34">
        <v>17.230968439999995</v>
      </c>
      <c r="K25" s="34">
        <v>21.558513219999998</v>
      </c>
      <c r="L25" s="34">
        <v>13.219045749999999</v>
      </c>
      <c r="M25" s="34">
        <v>23.530220399999997</v>
      </c>
      <c r="N25" s="34">
        <v>7.8733367400000009</v>
      </c>
      <c r="O25" s="34">
        <v>25.55454757</v>
      </c>
      <c r="P25" s="34">
        <f>+SUM(D25:O25)</f>
        <v>211.98343154000003</v>
      </c>
      <c r="R25" s="14"/>
    </row>
    <row r="26" spans="2:18" ht="18" customHeight="1" thickTop="1" thickBot="1">
      <c r="B26" s="260"/>
      <c r="C26" s="29" t="s">
        <v>139</v>
      </c>
      <c r="D26" s="34">
        <v>222.73202896999999</v>
      </c>
      <c r="E26" s="34">
        <v>186.48672830000004</v>
      </c>
      <c r="F26" s="34">
        <v>201.81411533999997</v>
      </c>
      <c r="G26" s="34">
        <v>280.92105714999997</v>
      </c>
      <c r="H26" s="34">
        <v>238.12997215000001</v>
      </c>
      <c r="I26" s="34">
        <v>216.65404017000006</v>
      </c>
      <c r="J26" s="34">
        <v>264.29344470000001</v>
      </c>
      <c r="K26" s="34">
        <v>225.71488755000001</v>
      </c>
      <c r="L26" s="34">
        <v>178.75895343000002</v>
      </c>
      <c r="M26" s="34">
        <v>305.68149903</v>
      </c>
      <c r="N26" s="34">
        <v>169.64522264000004</v>
      </c>
      <c r="O26" s="34">
        <v>166.90037257</v>
      </c>
      <c r="P26" s="34">
        <f>+P23+P24+P25</f>
        <v>2645.2656610200002</v>
      </c>
      <c r="R26" s="14"/>
    </row>
    <row r="27" spans="2:18" ht="18" customHeight="1" thickTop="1" thickBot="1">
      <c r="B27" s="260"/>
      <c r="C27" s="32" t="s">
        <v>40</v>
      </c>
      <c r="D27" s="35">
        <v>7.5586667030046975E-2</v>
      </c>
      <c r="E27" s="35">
        <v>0.30664788310297408</v>
      </c>
      <c r="F27" s="35">
        <v>0.4708173311510549</v>
      </c>
      <c r="G27" s="35">
        <v>0.53061358258471214</v>
      </c>
      <c r="H27" s="35">
        <v>0.39192163932089485</v>
      </c>
      <c r="I27" s="35">
        <v>0.25521014607436748</v>
      </c>
      <c r="J27" s="35">
        <v>0.3459078033435728</v>
      </c>
      <c r="K27" s="35">
        <v>0.82301245085551278</v>
      </c>
      <c r="L27" s="35">
        <v>-0.23647115323411977</v>
      </c>
      <c r="M27" s="35">
        <v>0.74956146307702798</v>
      </c>
      <c r="N27" s="35">
        <v>1.8382548356915576</v>
      </c>
      <c r="O27" s="35">
        <v>0.37188355095076048</v>
      </c>
      <c r="P27" s="35">
        <v>0.38086669572112042</v>
      </c>
      <c r="R27" s="14"/>
    </row>
    <row r="28" spans="2:18" s="3" customFormat="1" ht="18" customHeight="1" thickTop="1" thickBot="1">
      <c r="B28" s="260" t="s">
        <v>5</v>
      </c>
      <c r="C28" s="31" t="s">
        <v>65</v>
      </c>
      <c r="D28" s="34">
        <v>7.8714700000000004</v>
      </c>
      <c r="E28" s="34">
        <v>10.226907000000001</v>
      </c>
      <c r="F28" s="34">
        <v>15.784183000000001</v>
      </c>
      <c r="G28" s="34">
        <v>22.105301999999998</v>
      </c>
      <c r="H28" s="34">
        <v>14.222146</v>
      </c>
      <c r="I28" s="34">
        <v>13.599672</v>
      </c>
      <c r="J28" s="34">
        <v>12.959028999999999</v>
      </c>
      <c r="K28" s="34">
        <v>9.2480220000000006</v>
      </c>
      <c r="L28" s="34">
        <v>13.819666</v>
      </c>
      <c r="M28" s="34">
        <v>6.8470199999999997</v>
      </c>
      <c r="N28" s="34">
        <v>11.152184</v>
      </c>
      <c r="O28" s="34">
        <v>12.302989999999999</v>
      </c>
      <c r="P28" s="34">
        <v>150.13859099999999</v>
      </c>
      <c r="R28" s="44"/>
    </row>
    <row r="29" spans="2:18" s="3" customFormat="1" ht="18" customHeight="1" thickTop="1" thickBot="1">
      <c r="B29" s="260"/>
      <c r="C29" s="29" t="s">
        <v>59</v>
      </c>
      <c r="D29" s="34">
        <v>33.200251999999999</v>
      </c>
      <c r="E29" s="34">
        <v>23.358160000000002</v>
      </c>
      <c r="F29" s="34">
        <v>46.002901000000001</v>
      </c>
      <c r="G29" s="34">
        <v>23.899187000000001</v>
      </c>
      <c r="H29" s="34">
        <v>26.882821</v>
      </c>
      <c r="I29" s="34">
        <v>22.136372000000001</v>
      </c>
      <c r="J29" s="34">
        <v>16.509497</v>
      </c>
      <c r="K29" s="34">
        <v>20.065044</v>
      </c>
      <c r="L29" s="34">
        <v>29.211144999999998</v>
      </c>
      <c r="M29" s="34">
        <v>33.931640000000002</v>
      </c>
      <c r="N29" s="34">
        <v>21.265082</v>
      </c>
      <c r="O29" s="34">
        <v>28.306812999999998</v>
      </c>
      <c r="P29" s="34">
        <v>324.768914</v>
      </c>
      <c r="R29" s="44"/>
    </row>
    <row r="30" spans="2:18" s="3" customFormat="1" ht="18" customHeight="1" thickTop="1" thickBot="1">
      <c r="B30" s="260"/>
      <c r="C30" s="29" t="s">
        <v>60</v>
      </c>
      <c r="D30" s="34">
        <v>0.309975</v>
      </c>
      <c r="E30" s="34">
        <v>0.104726</v>
      </c>
      <c r="F30" s="34">
        <v>0.21964900000000001</v>
      </c>
      <c r="G30" s="34">
        <v>7.2137999999999994E-2</v>
      </c>
      <c r="H30" s="34">
        <v>0.47092800000000001</v>
      </c>
      <c r="I30" s="34">
        <v>0.133106</v>
      </c>
      <c r="J30" s="34">
        <v>0.161886</v>
      </c>
      <c r="K30" s="34">
        <v>0.101673</v>
      </c>
      <c r="L30" s="34">
        <v>0.46835700000000002</v>
      </c>
      <c r="M30" s="34">
        <v>0.25412099999999999</v>
      </c>
      <c r="N30" s="34">
        <v>0.32775199999999999</v>
      </c>
      <c r="O30" s="34">
        <v>0.42539500000000002</v>
      </c>
      <c r="P30" s="34">
        <v>3.0497059999999996</v>
      </c>
      <c r="R30" s="44"/>
    </row>
    <row r="31" spans="2:18" s="3" customFormat="1" ht="18" customHeight="1" thickTop="1" thickBot="1">
      <c r="B31" s="260"/>
      <c r="C31" s="29" t="s">
        <v>139</v>
      </c>
      <c r="D31" s="34">
        <v>41.381697000000003</v>
      </c>
      <c r="E31" s="34">
        <v>33.689793000000002</v>
      </c>
      <c r="F31" s="34">
        <v>62.006732999999997</v>
      </c>
      <c r="G31" s="34">
        <v>46.076627000000002</v>
      </c>
      <c r="H31" s="34">
        <v>41.575895000000003</v>
      </c>
      <c r="I31" s="34">
        <v>35.869149999999998</v>
      </c>
      <c r="J31" s="34">
        <v>29.630411999999996</v>
      </c>
      <c r="K31" s="34">
        <v>29.414739000000001</v>
      </c>
      <c r="L31" s="34">
        <v>43.499167999999997</v>
      </c>
      <c r="M31" s="34">
        <v>41.032781</v>
      </c>
      <c r="N31" s="34">
        <v>32.745017999999995</v>
      </c>
      <c r="O31" s="34">
        <v>41.035198000000001</v>
      </c>
      <c r="P31" s="34">
        <v>477.95721100000003</v>
      </c>
      <c r="R31" s="44"/>
    </row>
    <row r="32" spans="2:18" s="3" customFormat="1" ht="18" customHeight="1" thickTop="1" thickBot="1">
      <c r="B32" s="260"/>
      <c r="C32" s="32" t="s">
        <v>40</v>
      </c>
      <c r="D32" s="35">
        <v>0.50385276511495403</v>
      </c>
      <c r="E32" s="35">
        <v>0.21769718493355605</v>
      </c>
      <c r="F32" s="35">
        <v>0.37217244776861641</v>
      </c>
      <c r="G32" s="35">
        <v>-0.28545457720316608</v>
      </c>
      <c r="H32" s="35">
        <v>-0.18681208741870362</v>
      </c>
      <c r="I32" s="35">
        <v>4.9857838504271355E-2</v>
      </c>
      <c r="J32" s="35">
        <v>-0.20047369723209887</v>
      </c>
      <c r="K32" s="35">
        <v>-0.19383400737338052</v>
      </c>
      <c r="L32" s="35">
        <v>-9.3677570730162831E-3</v>
      </c>
      <c r="M32" s="35">
        <v>0.68856290361448969</v>
      </c>
      <c r="N32" s="35">
        <v>0.29920564598873572</v>
      </c>
      <c r="O32" s="35">
        <v>-2.75432500629837E-2</v>
      </c>
      <c r="P32" s="35">
        <v>4.0601323635799519E-2</v>
      </c>
      <c r="R32" s="44"/>
    </row>
    <row r="33" spans="2:18" s="3" customFormat="1" ht="18" customHeight="1" thickTop="1" thickBot="1">
      <c r="B33" s="260" t="s">
        <v>4</v>
      </c>
      <c r="C33" s="31" t="s">
        <v>65</v>
      </c>
      <c r="D33" s="34">
        <v>14.321272900000002</v>
      </c>
      <c r="E33" s="34">
        <v>2.2510694899999995</v>
      </c>
      <c r="F33" s="34">
        <v>25.958313500000003</v>
      </c>
      <c r="G33" s="34">
        <v>22.564604069999998</v>
      </c>
      <c r="H33" s="34">
        <v>15.879652120000001</v>
      </c>
      <c r="I33" s="34">
        <v>3.3917211700000003</v>
      </c>
      <c r="J33" s="34">
        <v>34.056266999999991</v>
      </c>
      <c r="K33" s="34">
        <v>11.366213740000003</v>
      </c>
      <c r="L33" s="34">
        <v>4.6062905300000008</v>
      </c>
      <c r="M33" s="34">
        <v>15.685451030000005</v>
      </c>
      <c r="N33" s="34">
        <v>13.333258279999997</v>
      </c>
      <c r="O33" s="34">
        <v>10.431045389999994</v>
      </c>
      <c r="P33" s="34">
        <v>173.84515921999997</v>
      </c>
      <c r="R33" s="44"/>
    </row>
    <row r="34" spans="2:18" s="3" customFormat="1" ht="18" customHeight="1" thickTop="1" thickBot="1">
      <c r="B34" s="260"/>
      <c r="C34" s="29" t="s">
        <v>59</v>
      </c>
      <c r="D34" s="34">
        <v>77.78194059999997</v>
      </c>
      <c r="E34" s="34">
        <v>27.21109822</v>
      </c>
      <c r="F34" s="34">
        <v>61.483108320000007</v>
      </c>
      <c r="G34" s="34">
        <v>57.945198839999982</v>
      </c>
      <c r="H34" s="34">
        <v>49.717358729999965</v>
      </c>
      <c r="I34" s="34">
        <v>56.974257339999973</v>
      </c>
      <c r="J34" s="34">
        <v>49.417571230000007</v>
      </c>
      <c r="K34" s="34">
        <v>38.451359850000024</v>
      </c>
      <c r="L34" s="34">
        <v>39.247806320000002</v>
      </c>
      <c r="M34" s="34">
        <v>86.937753560000019</v>
      </c>
      <c r="N34" s="34">
        <v>44.599682449999996</v>
      </c>
      <c r="O34" s="34">
        <v>34.895396730000002</v>
      </c>
      <c r="P34" s="34">
        <v>624.66253218999998</v>
      </c>
      <c r="R34" s="44"/>
    </row>
    <row r="35" spans="2:18" s="3" customFormat="1" ht="18" customHeight="1" thickTop="1" thickBot="1">
      <c r="B35" s="260"/>
      <c r="C35" s="29" t="s">
        <v>60</v>
      </c>
      <c r="D35" s="34">
        <v>18.416270599999979</v>
      </c>
      <c r="E35" s="34">
        <v>2.4259624700000035</v>
      </c>
      <c r="F35" s="34">
        <v>11.022543000000013</v>
      </c>
      <c r="G35" s="34">
        <v>6.1163351799999992</v>
      </c>
      <c r="H35" s="34">
        <v>13.375413850000021</v>
      </c>
      <c r="I35" s="34">
        <v>19.031218670000008</v>
      </c>
      <c r="J35" s="34">
        <v>10.321697810000007</v>
      </c>
      <c r="K35" s="34">
        <v>18.098569530000024</v>
      </c>
      <c r="L35" s="34">
        <v>8.3543275800000032</v>
      </c>
      <c r="M35" s="34">
        <v>16.586423219999997</v>
      </c>
      <c r="N35" s="34">
        <v>23.671982210000021</v>
      </c>
      <c r="O35" s="34">
        <v>11.37993065</v>
      </c>
      <c r="P35" s="34">
        <v>158.80067477000009</v>
      </c>
      <c r="R35" s="44"/>
    </row>
    <row r="36" spans="2:18" s="3" customFormat="1" ht="18" customHeight="1" thickTop="1" thickBot="1">
      <c r="B36" s="260"/>
      <c r="C36" s="29" t="s">
        <v>139</v>
      </c>
      <c r="D36" s="34">
        <v>110.51948409999994</v>
      </c>
      <c r="E36" s="34">
        <v>31.888130180000005</v>
      </c>
      <c r="F36" s="34">
        <v>98.463964820000029</v>
      </c>
      <c r="G36" s="34">
        <v>86.626138089999969</v>
      </c>
      <c r="H36" s="34">
        <v>78.972424699999976</v>
      </c>
      <c r="I36" s="34">
        <v>79.397197179999978</v>
      </c>
      <c r="J36" s="34">
        <v>93.795536040000002</v>
      </c>
      <c r="K36" s="34">
        <v>67.916143120000044</v>
      </c>
      <c r="L36" s="34">
        <v>52.208424430000008</v>
      </c>
      <c r="M36" s="34">
        <v>119.20962781000003</v>
      </c>
      <c r="N36" s="34">
        <v>81.604922940000009</v>
      </c>
      <c r="O36" s="34">
        <v>56.706372769999994</v>
      </c>
      <c r="P36" s="34">
        <v>957.30836618000012</v>
      </c>
      <c r="R36" s="44"/>
    </row>
    <row r="37" spans="2:18" s="3" customFormat="1" ht="18" customHeight="1" thickTop="1" thickBot="1">
      <c r="B37" s="260"/>
      <c r="C37" s="32" t="s">
        <v>40</v>
      </c>
      <c r="D37" s="35">
        <v>8.0869204197594816E-3</v>
      </c>
      <c r="E37" s="35">
        <v>-0.48545010915742159</v>
      </c>
      <c r="F37" s="35">
        <v>-0.16980261379619266</v>
      </c>
      <c r="G37" s="35">
        <v>0.10806853851301056</v>
      </c>
      <c r="H37" s="35">
        <v>-0.51824691861243766</v>
      </c>
      <c r="I37" s="35">
        <v>0.2183228835476915</v>
      </c>
      <c r="J37" s="35">
        <v>-2.5023124205043334E-2</v>
      </c>
      <c r="K37" s="35">
        <v>-0.11802354812816855</v>
      </c>
      <c r="L37" s="35">
        <v>-9.0628026887775007E-2</v>
      </c>
      <c r="M37" s="35">
        <v>0.32709021313990205</v>
      </c>
      <c r="N37" s="35">
        <v>0.23631342614287287</v>
      </c>
      <c r="O37" s="35">
        <v>0.21797832576819312</v>
      </c>
      <c r="P37" s="35">
        <v>-7.1019930398609724E-2</v>
      </c>
      <c r="R37" s="44"/>
    </row>
    <row r="38" spans="2:18" s="3" customFormat="1" ht="18" customHeight="1" thickTop="1" thickBot="1">
      <c r="B38" s="260" t="s">
        <v>10</v>
      </c>
      <c r="C38" s="31" t="s">
        <v>65</v>
      </c>
      <c r="D38" s="34">
        <v>8.8069996100000001</v>
      </c>
      <c r="E38" s="34">
        <v>10.364614429999998</v>
      </c>
      <c r="F38" s="34">
        <v>13.77601769</v>
      </c>
      <c r="G38" s="34">
        <v>10.001195619999999</v>
      </c>
      <c r="H38" s="34">
        <v>11.202323899999998</v>
      </c>
      <c r="I38" s="34">
        <v>13.618790830000002</v>
      </c>
      <c r="J38" s="34">
        <v>12.38872318</v>
      </c>
      <c r="K38" s="34">
        <v>4.3740049499999989</v>
      </c>
      <c r="L38" s="34">
        <v>5.7082383200000004</v>
      </c>
      <c r="M38" s="34">
        <v>13.587958740000005</v>
      </c>
      <c r="N38" s="34">
        <v>6.9309753900000004</v>
      </c>
      <c r="O38" s="34">
        <v>9.4813846400000017</v>
      </c>
      <c r="P38" s="34">
        <v>120.24122730000001</v>
      </c>
      <c r="R38" s="44"/>
    </row>
    <row r="39" spans="2:18" s="3" customFormat="1" ht="18" customHeight="1" thickTop="1" thickBot="1">
      <c r="B39" s="260"/>
      <c r="C39" s="29" t="s">
        <v>59</v>
      </c>
      <c r="D39" s="34">
        <v>19.101673410000007</v>
      </c>
      <c r="E39" s="34">
        <v>19.143357929999997</v>
      </c>
      <c r="F39" s="34">
        <v>24.798333020000001</v>
      </c>
      <c r="G39" s="34">
        <v>10.686000760000001</v>
      </c>
      <c r="H39" s="34">
        <v>9.6290969499999992</v>
      </c>
      <c r="I39" s="34">
        <v>19.015403990000003</v>
      </c>
      <c r="J39" s="34">
        <v>23.320452789999997</v>
      </c>
      <c r="K39" s="34">
        <v>8.2695119300000002</v>
      </c>
      <c r="L39" s="34">
        <v>21.957351289999988</v>
      </c>
      <c r="M39" s="34">
        <v>18.93671990999999</v>
      </c>
      <c r="N39" s="34">
        <v>9.2302258399999975</v>
      </c>
      <c r="O39" s="34">
        <v>13.607832829999992</v>
      </c>
      <c r="P39" s="34">
        <v>197.69596064999996</v>
      </c>
      <c r="R39" s="44"/>
    </row>
    <row r="40" spans="2:18" s="3" customFormat="1" ht="18" customHeight="1" thickTop="1" thickBot="1">
      <c r="B40" s="260"/>
      <c r="C40" s="29" t="s">
        <v>60</v>
      </c>
      <c r="D40" s="34">
        <v>0.55340497</v>
      </c>
      <c r="E40" s="34">
        <v>0.41127740999999995</v>
      </c>
      <c r="F40" s="34">
        <v>0.60805111999999972</v>
      </c>
      <c r="G40" s="34">
        <v>0.40941103000000006</v>
      </c>
      <c r="H40" s="34">
        <v>0.60496077999999998</v>
      </c>
      <c r="I40" s="34">
        <v>0.88634984999999988</v>
      </c>
      <c r="J40" s="34">
        <v>0.39945401000000008</v>
      </c>
      <c r="K40" s="34">
        <v>0.67412674000000006</v>
      </c>
      <c r="L40" s="34">
        <v>0.50761305999999995</v>
      </c>
      <c r="M40" s="34">
        <v>0.58368653999999998</v>
      </c>
      <c r="N40" s="34">
        <v>1.2218932599999999</v>
      </c>
      <c r="O40" s="34">
        <v>0.24519119999999997</v>
      </c>
      <c r="P40" s="34">
        <v>7.1054199699999989</v>
      </c>
      <c r="R40" s="44"/>
    </row>
    <row r="41" spans="2:18" s="3" customFormat="1" ht="18" customHeight="1" thickTop="1" thickBot="1">
      <c r="B41" s="260"/>
      <c r="C41" s="29" t="s">
        <v>139</v>
      </c>
      <c r="D41" s="34">
        <v>28.462077990000008</v>
      </c>
      <c r="E41" s="34">
        <v>29.919249769999997</v>
      </c>
      <c r="F41" s="34">
        <v>39.182401830000003</v>
      </c>
      <c r="G41" s="34">
        <v>21.096607410000001</v>
      </c>
      <c r="H41" s="34">
        <v>21.436381629999996</v>
      </c>
      <c r="I41" s="34">
        <v>33.520544670000007</v>
      </c>
      <c r="J41" s="34">
        <v>36.108629979999996</v>
      </c>
      <c r="K41" s="34">
        <v>13.31764362</v>
      </c>
      <c r="L41" s="34">
        <v>28.173202669999988</v>
      </c>
      <c r="M41" s="34">
        <v>33.108365190000001</v>
      </c>
      <c r="N41" s="34">
        <v>17.383094489999998</v>
      </c>
      <c r="O41" s="34">
        <v>23.334408669999995</v>
      </c>
      <c r="P41" s="34">
        <v>325.04260791999997</v>
      </c>
      <c r="R41" s="44"/>
    </row>
    <row r="42" spans="2:18" s="3" customFormat="1" ht="18" customHeight="1" thickTop="1" thickBot="1">
      <c r="B42" s="260"/>
      <c r="C42" s="32" t="s">
        <v>40</v>
      </c>
      <c r="D42" s="35">
        <v>0.203260317269021</v>
      </c>
      <c r="E42" s="35">
        <v>-1.0724352526593785E-2</v>
      </c>
      <c r="F42" s="35">
        <v>0.17182837491497641</v>
      </c>
      <c r="G42" s="35">
        <v>-0.30739430012295099</v>
      </c>
      <c r="H42" s="35">
        <v>-0.53915371258880795</v>
      </c>
      <c r="I42" s="35">
        <v>0.19040595064833152</v>
      </c>
      <c r="J42" s="35">
        <v>1.4895667781301461E-2</v>
      </c>
      <c r="K42" s="35">
        <v>-0.51875861785432942</v>
      </c>
      <c r="L42" s="35">
        <v>0.35145175039413762</v>
      </c>
      <c r="M42" s="35">
        <v>0.24031880989148932</v>
      </c>
      <c r="N42" s="35">
        <v>-4.3304205415153521E-2</v>
      </c>
      <c r="O42" s="35">
        <v>0.63531493914985349</v>
      </c>
      <c r="P42" s="35">
        <v>-3.1746392927973634E-2</v>
      </c>
      <c r="R42" s="44"/>
    </row>
    <row r="43" spans="2:18" s="3" customFormat="1" ht="18" customHeight="1" thickTop="1" thickBot="1">
      <c r="B43" s="260" t="s">
        <v>11</v>
      </c>
      <c r="C43" s="31" t="s">
        <v>65</v>
      </c>
      <c r="D43" s="34">
        <v>22.916926</v>
      </c>
      <c r="E43" s="34">
        <v>11.508621</v>
      </c>
      <c r="F43" s="34">
        <v>19.301770000000001</v>
      </c>
      <c r="G43" s="34">
        <v>11.929368</v>
      </c>
      <c r="H43" s="34">
        <v>25.592374</v>
      </c>
      <c r="I43" s="34">
        <v>26.562927999999999</v>
      </c>
      <c r="J43" s="34">
        <v>22.464251999999998</v>
      </c>
      <c r="K43" s="34">
        <v>6.9132699999999998</v>
      </c>
      <c r="L43" s="34">
        <v>24.544487</v>
      </c>
      <c r="M43" s="34">
        <v>24.580683000000001</v>
      </c>
      <c r="N43" s="34">
        <v>5.7980960000000001</v>
      </c>
      <c r="O43" s="34">
        <v>19.253269</v>
      </c>
      <c r="P43" s="34">
        <v>221.36604399999996</v>
      </c>
      <c r="R43" s="44"/>
    </row>
    <row r="44" spans="2:18" s="3" customFormat="1" ht="18" customHeight="1" thickTop="1" thickBot="1">
      <c r="B44" s="260"/>
      <c r="C44" s="29" t="s">
        <v>59</v>
      </c>
      <c r="D44" s="34">
        <v>33.308714999999999</v>
      </c>
      <c r="E44" s="34">
        <v>17.980979999999999</v>
      </c>
      <c r="F44" s="34">
        <v>32.381740999999998</v>
      </c>
      <c r="G44" s="34">
        <v>35.371426</v>
      </c>
      <c r="H44" s="34">
        <v>28.543606</v>
      </c>
      <c r="I44" s="34">
        <v>32.743564999999997</v>
      </c>
      <c r="J44" s="34">
        <v>59.121763999999999</v>
      </c>
      <c r="K44" s="34">
        <v>11.132204</v>
      </c>
      <c r="L44" s="34">
        <v>35.343308999999998</v>
      </c>
      <c r="M44" s="34">
        <v>34.443469999999998</v>
      </c>
      <c r="N44" s="34">
        <v>25.571574999999999</v>
      </c>
      <c r="O44" s="34">
        <v>34.976984000000002</v>
      </c>
      <c r="P44" s="34">
        <v>380.91933899999998</v>
      </c>
      <c r="R44" s="44"/>
    </row>
    <row r="45" spans="2:18" s="3" customFormat="1" ht="18" customHeight="1" thickTop="1" thickBot="1">
      <c r="B45" s="260"/>
      <c r="C45" s="29" t="s">
        <v>60</v>
      </c>
      <c r="D45" s="34">
        <v>1.7134750000000001</v>
      </c>
      <c r="E45" s="34">
        <v>0.188441</v>
      </c>
      <c r="F45" s="34">
        <v>1.041442</v>
      </c>
      <c r="G45" s="34">
        <v>0.48235699999999998</v>
      </c>
      <c r="H45" s="34">
        <v>0.34057399999999999</v>
      </c>
      <c r="I45" s="34">
        <v>1.2714780000000001</v>
      </c>
      <c r="J45" s="34">
        <v>0.89749000000000001</v>
      </c>
      <c r="K45" s="34">
        <v>0.78624799999999995</v>
      </c>
      <c r="L45" s="34">
        <v>2.4533640000000001</v>
      </c>
      <c r="M45" s="34">
        <v>0.37162400000000001</v>
      </c>
      <c r="N45" s="34">
        <v>0.81521100000000002</v>
      </c>
      <c r="O45" s="34">
        <v>0.54081100000000004</v>
      </c>
      <c r="P45" s="34">
        <v>10.902515000000001</v>
      </c>
      <c r="R45" s="44"/>
    </row>
    <row r="46" spans="2:18" s="3" customFormat="1" ht="18" customHeight="1" thickTop="1" thickBot="1">
      <c r="B46" s="260"/>
      <c r="C46" s="29" t="s">
        <v>139</v>
      </c>
      <c r="D46" s="34">
        <v>57.939115999999999</v>
      </c>
      <c r="E46" s="34">
        <v>29.678042000000001</v>
      </c>
      <c r="F46" s="34">
        <v>52.724952999999999</v>
      </c>
      <c r="G46" s="34">
        <v>47.783150999999997</v>
      </c>
      <c r="H46" s="34">
        <v>54.476554</v>
      </c>
      <c r="I46" s="34">
        <v>60.577970999999998</v>
      </c>
      <c r="J46" s="34">
        <v>82.483506000000006</v>
      </c>
      <c r="K46" s="34">
        <v>18.831721999999999</v>
      </c>
      <c r="L46" s="34">
        <v>62.341159999999995</v>
      </c>
      <c r="M46" s="34">
        <v>59.395776999999995</v>
      </c>
      <c r="N46" s="34">
        <v>32.184882000000002</v>
      </c>
      <c r="O46" s="34">
        <v>54.771064000000003</v>
      </c>
      <c r="P46" s="34">
        <v>613.1878979999999</v>
      </c>
      <c r="R46" s="44"/>
    </row>
    <row r="47" spans="2:18" s="3" customFormat="1" ht="18" customHeight="1" thickTop="1" thickBot="1">
      <c r="B47" s="260"/>
      <c r="C47" s="32" t="s">
        <v>40</v>
      </c>
      <c r="D47" s="35">
        <v>0.24326085044888751</v>
      </c>
      <c r="E47" s="35">
        <v>-3.7721254005854937E-2</v>
      </c>
      <c r="F47" s="35">
        <v>0.31247924550884021</v>
      </c>
      <c r="G47" s="35">
        <v>-2.8683416781841213E-2</v>
      </c>
      <c r="H47" s="35">
        <v>-0.18164011227802701</v>
      </c>
      <c r="I47" s="35">
        <v>0.36961254312287439</v>
      </c>
      <c r="J47" s="35">
        <v>1.2811794214059786</v>
      </c>
      <c r="K47" s="35">
        <v>-0.65223650298254265</v>
      </c>
      <c r="L47" s="35">
        <v>0.23186152727160053</v>
      </c>
      <c r="M47" s="35">
        <v>-1.4833907681217805E-2</v>
      </c>
      <c r="N47" s="35">
        <v>-0.18375161408415949</v>
      </c>
      <c r="O47" s="35">
        <v>0.70478672527010078</v>
      </c>
      <c r="P47" s="35">
        <v>0.11413181326512629</v>
      </c>
      <c r="R47" s="44"/>
    </row>
    <row r="48" spans="2:18" s="3" customFormat="1" ht="18" customHeight="1" thickTop="1" thickBot="1">
      <c r="B48" s="260" t="s">
        <v>86</v>
      </c>
      <c r="C48" s="31" t="s">
        <v>65</v>
      </c>
      <c r="D48" s="34">
        <v>7.7753201799999996</v>
      </c>
      <c r="E48" s="34">
        <v>4.9835490799999986</v>
      </c>
      <c r="F48" s="34">
        <v>6.816708880000002</v>
      </c>
      <c r="G48" s="34">
        <v>5.1433704499999999</v>
      </c>
      <c r="H48" s="34">
        <v>8.2285268699999996</v>
      </c>
      <c r="I48" s="34">
        <v>6.7787538199999977</v>
      </c>
      <c r="J48" s="34">
        <v>6.0755655499999994</v>
      </c>
      <c r="K48" s="34">
        <v>8.3170235200000029</v>
      </c>
      <c r="L48" s="34">
        <v>4.1583832900000006</v>
      </c>
      <c r="M48" s="34">
        <v>5.422475809999999</v>
      </c>
      <c r="N48" s="34">
        <v>7.5702033100000001</v>
      </c>
      <c r="O48" s="34">
        <v>8.4747165899999999</v>
      </c>
      <c r="P48" s="34">
        <f>+SUM(D48:O48)</f>
        <v>79.744597350000006</v>
      </c>
      <c r="R48" s="44"/>
    </row>
    <row r="49" spans="2:18" s="3" customFormat="1" ht="18" customHeight="1" thickTop="1" thickBot="1">
      <c r="B49" s="260"/>
      <c r="C49" s="29" t="s">
        <v>59</v>
      </c>
      <c r="D49" s="34">
        <v>6.99844211</v>
      </c>
      <c r="E49" s="34">
        <v>19.926986960000001</v>
      </c>
      <c r="F49" s="34">
        <v>14.292221789999999</v>
      </c>
      <c r="G49" s="34">
        <v>9.9626795000000001</v>
      </c>
      <c r="H49" s="34">
        <v>15.72844484</v>
      </c>
      <c r="I49" s="34">
        <v>5.3969948699999994</v>
      </c>
      <c r="J49" s="34">
        <v>12.431353960000003</v>
      </c>
      <c r="K49" s="34">
        <v>14.152762340000002</v>
      </c>
      <c r="L49" s="34">
        <v>12.776026629999999</v>
      </c>
      <c r="M49" s="34">
        <v>8.7935678799999994</v>
      </c>
      <c r="N49" s="34">
        <v>9.797212570000001</v>
      </c>
      <c r="O49" s="34">
        <v>23.696590280000006</v>
      </c>
      <c r="P49" s="34">
        <f>+SUM(D49:O49)</f>
        <v>153.95328373000001</v>
      </c>
      <c r="R49" s="44"/>
    </row>
    <row r="50" spans="2:18" s="3" customFormat="1" ht="18" customHeight="1" thickTop="1" thickBot="1">
      <c r="B50" s="260"/>
      <c r="C50" s="29" t="s">
        <v>60</v>
      </c>
      <c r="D50" s="34">
        <v>0.53772615000000001</v>
      </c>
      <c r="E50" s="34">
        <v>0.42991138000000001</v>
      </c>
      <c r="F50" s="34">
        <v>0.24249425999999999</v>
      </c>
      <c r="G50" s="34">
        <v>0.51844455</v>
      </c>
      <c r="H50" s="34">
        <v>0.30267852000000006</v>
      </c>
      <c r="I50" s="34">
        <v>0.46837131999999992</v>
      </c>
      <c r="J50" s="34">
        <v>0.34589381000000008</v>
      </c>
      <c r="K50" s="34">
        <v>0.31143658000000007</v>
      </c>
      <c r="L50" s="34">
        <v>0.45505141999999998</v>
      </c>
      <c r="M50" s="34">
        <v>0.25618182000000006</v>
      </c>
      <c r="N50" s="34">
        <v>0.37991240999999998</v>
      </c>
      <c r="O50" s="34">
        <v>3.3571090400000001</v>
      </c>
      <c r="P50" s="34">
        <f>+SUM(D50:O50)</f>
        <v>7.6052112600000008</v>
      </c>
      <c r="R50" s="44"/>
    </row>
    <row r="51" spans="2:18" s="3" customFormat="1" ht="18" customHeight="1" thickTop="1" thickBot="1">
      <c r="B51" s="260"/>
      <c r="C51" s="29" t="s">
        <v>139</v>
      </c>
      <c r="D51" s="34">
        <f>+D48+D49+D50</f>
        <v>15.31148844</v>
      </c>
      <c r="E51" s="34">
        <f t="shared" ref="E51:P51" si="1">+E48+E49+E50</f>
        <v>25.34044742</v>
      </c>
      <c r="F51" s="34">
        <f t="shared" si="1"/>
        <v>21.35142493</v>
      </c>
      <c r="G51" s="34">
        <f t="shared" si="1"/>
        <v>15.624494499999999</v>
      </c>
      <c r="H51" s="34">
        <f t="shared" si="1"/>
        <v>24.259650229999998</v>
      </c>
      <c r="I51" s="34">
        <f t="shared" si="1"/>
        <v>12.644120009999996</v>
      </c>
      <c r="J51" s="34">
        <f t="shared" si="1"/>
        <v>18.852813320000003</v>
      </c>
      <c r="K51" s="34">
        <f t="shared" si="1"/>
        <v>22.781222440000004</v>
      </c>
      <c r="L51" s="34">
        <f t="shared" si="1"/>
        <v>17.38946134</v>
      </c>
      <c r="M51" s="34">
        <f t="shared" si="1"/>
        <v>14.472225509999999</v>
      </c>
      <c r="N51" s="34">
        <f t="shared" si="1"/>
        <v>17.747328290000002</v>
      </c>
      <c r="O51" s="34">
        <f t="shared" si="1"/>
        <v>35.528415910000007</v>
      </c>
      <c r="P51" s="34">
        <f t="shared" si="1"/>
        <v>241.30309234000001</v>
      </c>
      <c r="R51" s="44"/>
    </row>
    <row r="52" spans="2:18" s="3" customFormat="1" ht="18" customHeight="1" thickTop="1" thickBot="1">
      <c r="B52" s="260"/>
      <c r="C52" s="32" t="s">
        <v>40</v>
      </c>
      <c r="D52" s="35">
        <v>-0.40814649026374195</v>
      </c>
      <c r="E52" s="35">
        <v>0.41517842353356427</v>
      </c>
      <c r="F52" s="35">
        <v>0.18767740182912721</v>
      </c>
      <c r="G52" s="35">
        <v>-0.27774582953360705</v>
      </c>
      <c r="H52" s="35">
        <v>7.3869919125536199E-2</v>
      </c>
      <c r="I52" s="35">
        <v>-0.44457253167001537</v>
      </c>
      <c r="J52" s="35">
        <v>-0.20952861491219982</v>
      </c>
      <c r="K52" s="35">
        <v>0.12626793290016414</v>
      </c>
      <c r="L52" s="35">
        <v>-6.7904695037799515E-2</v>
      </c>
      <c r="M52" s="35">
        <v>-0.32862268227634855</v>
      </c>
      <c r="N52" s="35">
        <v>-0.12368802811502441</v>
      </c>
      <c r="O52" s="35">
        <v>0.51299752740384574</v>
      </c>
      <c r="P52" s="35">
        <v>-6.4703775845159905E-2</v>
      </c>
      <c r="R52" s="44"/>
    </row>
    <row r="53" spans="2:18" ht="18" customHeight="1" thickTop="1" thickBot="1">
      <c r="B53" s="260" t="s">
        <v>43</v>
      </c>
      <c r="C53" s="31" t="s">
        <v>65</v>
      </c>
      <c r="D53" s="34">
        <v>141.67618090000002</v>
      </c>
      <c r="E53" s="34">
        <v>120.43448261099998</v>
      </c>
      <c r="F53" s="34">
        <v>137.66728753999999</v>
      </c>
      <c r="G53" s="34">
        <v>120.64560636699998</v>
      </c>
      <c r="H53" s="34">
        <v>131.51145162999998</v>
      </c>
      <c r="I53" s="34">
        <v>131.671851989</v>
      </c>
      <c r="J53" s="34">
        <v>141.18501172499998</v>
      </c>
      <c r="K53" s="34">
        <v>162.252255488</v>
      </c>
      <c r="L53" s="34">
        <v>140.51580744499998</v>
      </c>
      <c r="M53" s="34">
        <v>134.57976503700002</v>
      </c>
      <c r="N53" s="34">
        <v>150.73164340599999</v>
      </c>
      <c r="O53" s="34">
        <v>134.86881436199997</v>
      </c>
      <c r="P53" s="34">
        <v>1574.6765790297493</v>
      </c>
      <c r="R53" s="14"/>
    </row>
    <row r="54" spans="2:18" ht="18" customHeight="1" thickTop="1" thickBot="1">
      <c r="B54" s="260"/>
      <c r="C54" s="29" t="s">
        <v>59</v>
      </c>
      <c r="D54" s="34">
        <v>523.99241391399994</v>
      </c>
      <c r="E54" s="34">
        <v>564.73866198900009</v>
      </c>
      <c r="F54" s="34">
        <v>595.87891685600005</v>
      </c>
      <c r="G54" s="34">
        <v>641.63473318900003</v>
      </c>
      <c r="H54" s="34">
        <v>735.36540413599994</v>
      </c>
      <c r="I54" s="34">
        <v>613.91896420900002</v>
      </c>
      <c r="J54" s="34">
        <v>660.31711401100006</v>
      </c>
      <c r="K54" s="34">
        <v>743.22612053899991</v>
      </c>
      <c r="L54" s="34">
        <v>604.44040464700004</v>
      </c>
      <c r="M54" s="34">
        <v>699.144067791</v>
      </c>
      <c r="N54" s="34">
        <v>652.79417655600002</v>
      </c>
      <c r="O54" s="34">
        <v>633.85822403600014</v>
      </c>
      <c r="P54" s="34">
        <v>7021.9466242021645</v>
      </c>
      <c r="R54" s="14"/>
    </row>
    <row r="55" spans="2:18" ht="18" customHeight="1" thickTop="1" thickBot="1">
      <c r="B55" s="260"/>
      <c r="C55" s="29" t="s">
        <v>60</v>
      </c>
      <c r="D55" s="34">
        <v>10.358906439</v>
      </c>
      <c r="E55" s="34">
        <v>11.254216838999998</v>
      </c>
      <c r="F55" s="34">
        <v>9.0731297900000012</v>
      </c>
      <c r="G55" s="34">
        <v>8.5843868499999996</v>
      </c>
      <c r="H55" s="34">
        <v>11.574884966999999</v>
      </c>
      <c r="I55" s="34">
        <v>8.9688987989999998</v>
      </c>
      <c r="J55" s="34">
        <v>11.390070751</v>
      </c>
      <c r="K55" s="34">
        <v>10.625616624000001</v>
      </c>
      <c r="L55" s="34">
        <v>10.355870567000004</v>
      </c>
      <c r="M55" s="34">
        <v>13.572211526</v>
      </c>
      <c r="N55" s="34">
        <v>9.5698206619999961</v>
      </c>
      <c r="O55" s="34">
        <v>13.818720923000004</v>
      </c>
      <c r="P55" s="34">
        <v>119.68037844178633</v>
      </c>
      <c r="R55" s="14"/>
    </row>
    <row r="56" spans="2:18" ht="18" customHeight="1" thickTop="1" thickBot="1">
      <c r="B56" s="260"/>
      <c r="C56" s="29" t="s">
        <v>139</v>
      </c>
      <c r="D56" s="34">
        <v>600.87659359365091</v>
      </c>
      <c r="E56" s="34">
        <v>630.08408610449976</v>
      </c>
      <c r="F56" s="34">
        <v>698.40731209920341</v>
      </c>
      <c r="G56" s="34">
        <v>705.45362436499215</v>
      </c>
      <c r="H56" s="34">
        <v>794.26837452335508</v>
      </c>
      <c r="I56" s="34">
        <v>712.51924442599966</v>
      </c>
      <c r="J56" s="34">
        <v>749.40665240499993</v>
      </c>
      <c r="K56" s="34">
        <v>843.15204887799973</v>
      </c>
      <c r="L56" s="34">
        <v>707.10616312599996</v>
      </c>
      <c r="M56" s="34">
        <v>791.84927811199987</v>
      </c>
      <c r="N56" s="34">
        <v>762.93010491100017</v>
      </c>
      <c r="O56" s="34">
        <v>720.25009913000019</v>
      </c>
      <c r="P56" s="34">
        <v>8716.3035816736992</v>
      </c>
      <c r="Q56" s="4" t="s">
        <v>17</v>
      </c>
      <c r="R56" s="14"/>
    </row>
    <row r="57" spans="2:18" ht="18" customHeight="1" thickTop="1" thickBot="1">
      <c r="B57" s="260"/>
      <c r="C57" s="32" t="s">
        <v>40</v>
      </c>
      <c r="D57" s="35">
        <v>-7.4924115094763322E-2</v>
      </c>
      <c r="E57" s="35">
        <v>-6.7512183983761244E-3</v>
      </c>
      <c r="F57" s="35">
        <v>0.24157805171791488</v>
      </c>
      <c r="G57" s="35">
        <v>-2.6099002783700961E-2</v>
      </c>
      <c r="H57" s="35">
        <v>0.13409098154086041</v>
      </c>
      <c r="I57" s="35">
        <v>0.28134850543441647</v>
      </c>
      <c r="J57" s="35">
        <v>0.22963051504015131</v>
      </c>
      <c r="K57" s="35">
        <v>0.34663812280612855</v>
      </c>
      <c r="L57" s="35">
        <v>0.38092468705370963</v>
      </c>
      <c r="M57" s="35">
        <v>0.14398922626154129</v>
      </c>
      <c r="N57" s="35">
        <v>0.3864149628574477</v>
      </c>
      <c r="O57" s="35">
        <v>-8.7176094800903547E-2</v>
      </c>
      <c r="P57" s="35">
        <v>0.14592547781946066</v>
      </c>
      <c r="R57" s="14"/>
    </row>
    <row r="58" spans="2:18" s="3" customFormat="1" ht="18" customHeight="1" thickTop="1" thickBot="1">
      <c r="B58" s="260" t="s">
        <v>71</v>
      </c>
      <c r="C58" s="31" t="s">
        <v>65</v>
      </c>
      <c r="D58" s="34">
        <v>20.812096530000005</v>
      </c>
      <c r="E58" s="34">
        <v>41.368048560000013</v>
      </c>
      <c r="F58" s="34">
        <v>17.420981949999998</v>
      </c>
      <c r="G58" s="34">
        <v>47.96903812</v>
      </c>
      <c r="H58" s="34">
        <v>25.774861020000007</v>
      </c>
      <c r="I58" s="34">
        <v>49.103088410000005</v>
      </c>
      <c r="J58" s="34">
        <v>18.982518040000002</v>
      </c>
      <c r="K58" s="34">
        <v>29.134930280000006</v>
      </c>
      <c r="L58" s="34">
        <v>105.09462547</v>
      </c>
      <c r="M58" s="34">
        <v>13.045227010000001</v>
      </c>
      <c r="N58" s="34">
        <v>22.760583279999999</v>
      </c>
      <c r="O58" s="34">
        <v>24.505868259999993</v>
      </c>
      <c r="P58" s="34">
        <v>415.97186693000003</v>
      </c>
      <c r="R58" s="44"/>
    </row>
    <row r="59" spans="2:18" s="3" customFormat="1" ht="18" customHeight="1" thickTop="1" thickBot="1">
      <c r="B59" s="260"/>
      <c r="C59" s="29" t="s">
        <v>59</v>
      </c>
      <c r="D59" s="34">
        <v>9.6495949499999973</v>
      </c>
      <c r="E59" s="34">
        <v>16.16089551</v>
      </c>
      <c r="F59" s="34">
        <v>14.765773280000001</v>
      </c>
      <c r="G59" s="34">
        <v>8.3727509100000006</v>
      </c>
      <c r="H59" s="34">
        <v>10.378786590000001</v>
      </c>
      <c r="I59" s="34">
        <v>15.408182740000004</v>
      </c>
      <c r="J59" s="34">
        <v>7.4015221699999998</v>
      </c>
      <c r="K59" s="34">
        <v>5.2337190400000004</v>
      </c>
      <c r="L59" s="34">
        <v>20.520189819999999</v>
      </c>
      <c r="M59" s="34">
        <v>19.04407436</v>
      </c>
      <c r="N59" s="34">
        <v>14.272279009999997</v>
      </c>
      <c r="O59" s="34">
        <v>4.1509108500000007</v>
      </c>
      <c r="P59" s="34">
        <v>145.35867923000001</v>
      </c>
      <c r="R59" s="44"/>
    </row>
    <row r="60" spans="2:18" s="3" customFormat="1" ht="18" customHeight="1" thickTop="1" thickBot="1">
      <c r="B60" s="260"/>
      <c r="C60" s="29" t="s">
        <v>60</v>
      </c>
      <c r="D60" s="34">
        <v>0.5927630599999999</v>
      </c>
      <c r="E60" s="34">
        <v>1.00247826</v>
      </c>
      <c r="F60" s="34">
        <v>8.7952710000000003E-2</v>
      </c>
      <c r="G60" s="34">
        <v>0.22972229999999999</v>
      </c>
      <c r="H60" s="34">
        <v>1.3656143299999999</v>
      </c>
      <c r="I60" s="34">
        <v>1.8101270899999999</v>
      </c>
      <c r="J60" s="34">
        <v>0.60593807</v>
      </c>
      <c r="K60" s="34">
        <v>0.38545415000000005</v>
      </c>
      <c r="L60" s="34">
        <v>0.99228110999999997</v>
      </c>
      <c r="M60" s="34">
        <v>7.9741760000000023E-2</v>
      </c>
      <c r="N60" s="34">
        <v>0.50449685</v>
      </c>
      <c r="O60" s="34">
        <v>0.76990915999999998</v>
      </c>
      <c r="P60" s="34">
        <v>8.4264788499999987</v>
      </c>
      <c r="R60" s="44"/>
    </row>
    <row r="61" spans="2:18" s="3" customFormat="1" ht="18" customHeight="1" thickTop="1" thickBot="1">
      <c r="B61" s="260"/>
      <c r="C61" s="29" t="s">
        <v>139</v>
      </c>
      <c r="D61" s="34">
        <v>31.054454540000002</v>
      </c>
      <c r="E61" s="34">
        <v>58.531422330000005</v>
      </c>
      <c r="F61" s="34">
        <v>32.274707940000006</v>
      </c>
      <c r="G61" s="34">
        <v>56.57151133</v>
      </c>
      <c r="H61" s="34">
        <v>37.519261940000007</v>
      </c>
      <c r="I61" s="34">
        <v>66.321398240000008</v>
      </c>
      <c r="J61" s="34">
        <v>26.989978280000003</v>
      </c>
      <c r="K61" s="34">
        <v>34.754103470000004</v>
      </c>
      <c r="L61" s="34">
        <v>126.60709639999999</v>
      </c>
      <c r="M61" s="34">
        <v>32.169043129999999</v>
      </c>
      <c r="N61" s="34">
        <v>37.53735914</v>
      </c>
      <c r="O61" s="34">
        <v>29.426688269999996</v>
      </c>
      <c r="P61" s="34">
        <v>569.75702501000001</v>
      </c>
      <c r="R61" s="44"/>
    </row>
    <row r="62" spans="2:18" s="3" customFormat="1" ht="18" customHeight="1" thickTop="1" thickBot="1">
      <c r="B62" s="260"/>
      <c r="C62" s="32" t="s">
        <v>40</v>
      </c>
      <c r="D62" s="35">
        <v>-0.22691004569011033</v>
      </c>
      <c r="E62" s="35">
        <v>0.72478620417630168</v>
      </c>
      <c r="F62" s="35">
        <v>-0.11904489249109629</v>
      </c>
      <c r="G62" s="35">
        <v>7.1522938191583563E-2</v>
      </c>
      <c r="H62" s="35">
        <v>-0.70412407773621399</v>
      </c>
      <c r="I62" s="35">
        <v>0.66269642560664888</v>
      </c>
      <c r="J62" s="35">
        <v>-0.50729535062589282</v>
      </c>
      <c r="K62" s="35">
        <v>-0.13961162797484955</v>
      </c>
      <c r="L62" s="35">
        <v>11.984818966770636</v>
      </c>
      <c r="M62" s="35">
        <v>-0.45529605226645409</v>
      </c>
      <c r="N62" s="35">
        <v>-0.47583090837267517</v>
      </c>
      <c r="O62" s="35">
        <v>-8.9914342833821173E-2</v>
      </c>
      <c r="P62" s="35">
        <v>-4.748310626802902E-2</v>
      </c>
      <c r="R62" s="44"/>
    </row>
    <row r="63" spans="2:18" s="3" customFormat="1" ht="18" customHeight="1" thickTop="1" thickBot="1">
      <c r="B63" s="261" t="s">
        <v>6</v>
      </c>
      <c r="C63" s="31" t="s">
        <v>65</v>
      </c>
      <c r="D63" s="34">
        <v>16.459357400000002</v>
      </c>
      <c r="E63" s="34">
        <v>10.850806480000001</v>
      </c>
      <c r="F63" s="34">
        <v>9.1872925300000006</v>
      </c>
      <c r="G63" s="34">
        <v>16.808173779999997</v>
      </c>
      <c r="H63" s="34">
        <v>11.92654171</v>
      </c>
      <c r="I63" s="34">
        <v>13.095168670000001</v>
      </c>
      <c r="J63" s="34">
        <v>9.4207121600000008</v>
      </c>
      <c r="K63" s="34">
        <v>23.743398490000001</v>
      </c>
      <c r="L63" s="34">
        <v>9.04047132</v>
      </c>
      <c r="M63" s="34">
        <v>22.103961979999998</v>
      </c>
      <c r="N63" s="34">
        <v>3.28778609</v>
      </c>
      <c r="O63" s="34">
        <v>6.1559807699999993</v>
      </c>
      <c r="P63" s="34">
        <v>152.07965138000003</v>
      </c>
      <c r="R63" s="44"/>
    </row>
    <row r="64" spans="2:18" s="3" customFormat="1" ht="18" customHeight="1" thickTop="1" thickBot="1">
      <c r="B64" s="261"/>
      <c r="C64" s="29" t="s">
        <v>59</v>
      </c>
      <c r="D64" s="34">
        <v>13.90564835</v>
      </c>
      <c r="E64" s="34">
        <v>12.88598292</v>
      </c>
      <c r="F64" s="34">
        <v>20.473633100000001</v>
      </c>
      <c r="G64" s="34">
        <v>14.60393739</v>
      </c>
      <c r="H64" s="34">
        <v>22.242938179999996</v>
      </c>
      <c r="I64" s="34">
        <v>22.496693559999997</v>
      </c>
      <c r="J64" s="34">
        <v>21.519605810000002</v>
      </c>
      <c r="K64" s="34">
        <v>17.252525450000004</v>
      </c>
      <c r="L64" s="34">
        <v>14.201055500000001</v>
      </c>
      <c r="M64" s="34">
        <v>24.875117030000002</v>
      </c>
      <c r="N64" s="34">
        <v>17.4311355</v>
      </c>
      <c r="O64" s="34">
        <v>13.472801279999997</v>
      </c>
      <c r="P64" s="34">
        <v>215.36107407</v>
      </c>
      <c r="R64" s="44"/>
    </row>
    <row r="65" spans="2:18" s="3" customFormat="1" ht="18" customHeight="1" thickTop="1" thickBot="1">
      <c r="B65" s="261"/>
      <c r="C65" s="29" t="s">
        <v>60</v>
      </c>
      <c r="D65" s="34">
        <v>0.17210933</v>
      </c>
      <c r="E65" s="34">
        <v>0.14425460000000001</v>
      </c>
      <c r="F65" s="34">
        <v>8.4339600000000001E-2</v>
      </c>
      <c r="G65" s="34">
        <v>27.684752499999998</v>
      </c>
      <c r="H65" s="34">
        <v>3.9076050000000001E-2</v>
      </c>
      <c r="I65" s="34">
        <v>0.28960599999999997</v>
      </c>
      <c r="J65" s="34">
        <v>2.5447999999999998E-2</v>
      </c>
      <c r="K65" s="34">
        <v>6.3328999999999996E-2</v>
      </c>
      <c r="L65" s="34">
        <v>8.0609020000000003E-2</v>
      </c>
      <c r="M65" s="34">
        <v>0.30073591</v>
      </c>
      <c r="N65" s="34">
        <v>8.2657400000000023E-3</v>
      </c>
      <c r="O65" s="34">
        <v>4.1271000000000007E-3</v>
      </c>
      <c r="P65" s="34">
        <v>28.896652849999999</v>
      </c>
      <c r="R65" s="44"/>
    </row>
    <row r="66" spans="2:18" s="3" customFormat="1" ht="18" customHeight="1" thickTop="1" thickBot="1">
      <c r="B66" s="261"/>
      <c r="C66" s="29" t="s">
        <v>139</v>
      </c>
      <c r="D66" s="34">
        <v>30.537115080000003</v>
      </c>
      <c r="E66" s="34">
        <v>23.881043999999999</v>
      </c>
      <c r="F66" s="34">
        <v>29.745265230000001</v>
      </c>
      <c r="G66" s="34">
        <v>59.096863669999991</v>
      </c>
      <c r="H66" s="34">
        <v>34.208555939999997</v>
      </c>
      <c r="I66" s="34">
        <v>35.881468229999996</v>
      </c>
      <c r="J66" s="34">
        <v>30.965765970000003</v>
      </c>
      <c r="K66" s="34">
        <v>41.059252940000007</v>
      </c>
      <c r="L66" s="34">
        <v>23.322135840000001</v>
      </c>
      <c r="M66" s="34">
        <v>47.27981492</v>
      </c>
      <c r="N66" s="34">
        <v>20.72718733</v>
      </c>
      <c r="O66" s="34">
        <v>19.63290915</v>
      </c>
      <c r="P66" s="34">
        <v>396.33737830000007</v>
      </c>
      <c r="R66" s="44"/>
    </row>
    <row r="67" spans="2:18" s="3" customFormat="1" ht="18" customHeight="1" thickTop="1" thickBot="1">
      <c r="B67" s="261"/>
      <c r="C67" s="32" t="s">
        <v>40</v>
      </c>
      <c r="D67" s="35">
        <v>-0.62201195715642321</v>
      </c>
      <c r="E67" s="35">
        <v>-0.2505772383587947</v>
      </c>
      <c r="F67" s="35">
        <v>0.18279331269042523</v>
      </c>
      <c r="G67" s="35">
        <v>0.82268767216971694</v>
      </c>
      <c r="H67" s="35">
        <v>0.83273757820185701</v>
      </c>
      <c r="I67" s="35">
        <v>0.48082560787967704</v>
      </c>
      <c r="J67" s="35">
        <v>0.17980536087300231</v>
      </c>
      <c r="K67" s="35">
        <v>0.31194043799624899</v>
      </c>
      <c r="L67" s="35">
        <v>0.22958623802080749</v>
      </c>
      <c r="M67" s="35">
        <v>0.90186395392397634</v>
      </c>
      <c r="N67" s="35">
        <v>-0.61912569345778157</v>
      </c>
      <c r="O67" s="35">
        <v>-0.17716440748941867</v>
      </c>
      <c r="P67" s="35">
        <v>9.0772346249264786E-3</v>
      </c>
      <c r="R67" s="44"/>
    </row>
    <row r="68" spans="2:18" s="3" customFormat="1" ht="18" customHeight="1" thickTop="1" thickBot="1">
      <c r="B68" s="261" t="s">
        <v>44</v>
      </c>
      <c r="C68" s="31" t="s">
        <v>65</v>
      </c>
      <c r="D68" s="34">
        <v>56.140583460000002</v>
      </c>
      <c r="E68" s="34">
        <v>104.89551125999999</v>
      </c>
      <c r="F68" s="34">
        <v>51.637169090000036</v>
      </c>
      <c r="G68" s="34">
        <v>68.887500319999972</v>
      </c>
      <c r="H68" s="34">
        <v>88.246169229999978</v>
      </c>
      <c r="I68" s="34">
        <v>45.863399689999959</v>
      </c>
      <c r="J68" s="34">
        <v>62.663846700000022</v>
      </c>
      <c r="K68" s="34">
        <v>33.062190700000031</v>
      </c>
      <c r="L68" s="34">
        <v>79.875916349999997</v>
      </c>
      <c r="M68" s="34">
        <v>62.116031269999958</v>
      </c>
      <c r="N68" s="34">
        <v>51.012124080000021</v>
      </c>
      <c r="O68" s="34">
        <v>55.133166750000029</v>
      </c>
      <c r="P68" s="34">
        <v>759.53360889999999</v>
      </c>
      <c r="R68" s="44"/>
    </row>
    <row r="69" spans="2:18" s="3" customFormat="1" ht="18" customHeight="1" thickTop="1" thickBot="1">
      <c r="B69" s="261"/>
      <c r="C69" s="29" t="s">
        <v>59</v>
      </c>
      <c r="D69" s="34">
        <v>60.007272790000002</v>
      </c>
      <c r="E69" s="34">
        <v>48.995610309999982</v>
      </c>
      <c r="F69" s="34">
        <v>44.762996669999985</v>
      </c>
      <c r="G69" s="34">
        <v>82.207691520000026</v>
      </c>
      <c r="H69" s="34">
        <v>52.076928499999994</v>
      </c>
      <c r="I69" s="34">
        <v>90.64473842999999</v>
      </c>
      <c r="J69" s="34">
        <v>69.352681539999992</v>
      </c>
      <c r="K69" s="34">
        <v>62.385892070000011</v>
      </c>
      <c r="L69" s="34">
        <v>505.76748290999961</v>
      </c>
      <c r="M69" s="34">
        <v>68.079229739999974</v>
      </c>
      <c r="N69" s="34">
        <v>69.884139059999981</v>
      </c>
      <c r="O69" s="34">
        <v>49.792939460000021</v>
      </c>
      <c r="P69" s="34">
        <v>1203.9576029999998</v>
      </c>
      <c r="R69" s="44"/>
    </row>
    <row r="70" spans="2:18" s="3" customFormat="1" ht="18" customHeight="1" thickTop="1" thickBot="1">
      <c r="B70" s="261"/>
      <c r="C70" s="29" t="s">
        <v>60</v>
      </c>
      <c r="D70" s="34">
        <v>7.3873344600000008</v>
      </c>
      <c r="E70" s="34">
        <v>12.180565589999992</v>
      </c>
      <c r="F70" s="34">
        <v>7.3915479900000003</v>
      </c>
      <c r="G70" s="34">
        <v>3.5074635599999979</v>
      </c>
      <c r="H70" s="34">
        <v>6.7963241900000053</v>
      </c>
      <c r="I70" s="34">
        <v>11.008386599999993</v>
      </c>
      <c r="J70" s="34">
        <v>10.533184969999992</v>
      </c>
      <c r="K70" s="34">
        <v>5.6723146400000051</v>
      </c>
      <c r="L70" s="34">
        <v>8.7773193999999979</v>
      </c>
      <c r="M70" s="34">
        <v>10.772047389999994</v>
      </c>
      <c r="N70" s="34">
        <v>2.2379682599999984</v>
      </c>
      <c r="O70" s="34">
        <v>4.6819828200000009</v>
      </c>
      <c r="P70" s="34">
        <v>90.946439869999992</v>
      </c>
      <c r="R70" s="44"/>
    </row>
    <row r="71" spans="2:18" s="3" customFormat="1" ht="18" customHeight="1" thickTop="1" thickBot="1">
      <c r="B71" s="261"/>
      <c r="C71" s="29" t="s">
        <v>139</v>
      </c>
      <c r="D71" s="34">
        <v>123.53519071000001</v>
      </c>
      <c r="E71" s="34">
        <v>166.07168715999995</v>
      </c>
      <c r="F71" s="34">
        <v>103.79171375000003</v>
      </c>
      <c r="G71" s="34">
        <v>154.60265539999997</v>
      </c>
      <c r="H71" s="34">
        <v>147.11942191999998</v>
      </c>
      <c r="I71" s="34">
        <v>147.51652471999995</v>
      </c>
      <c r="J71" s="34">
        <v>142.54971320999999</v>
      </c>
      <c r="K71" s="34">
        <v>101.12039741000005</v>
      </c>
      <c r="L71" s="34">
        <v>594.42071865999958</v>
      </c>
      <c r="M71" s="34">
        <v>140.96730839999992</v>
      </c>
      <c r="N71" s="34">
        <v>123.1342314</v>
      </c>
      <c r="O71" s="34">
        <v>109.60808903000006</v>
      </c>
      <c r="P71" s="34">
        <v>2054.4376517699998</v>
      </c>
      <c r="R71" s="44"/>
    </row>
    <row r="72" spans="2:18" s="3" customFormat="1" ht="18" customHeight="1" thickTop="1" thickBot="1">
      <c r="B72" s="261"/>
      <c r="C72" s="32" t="s">
        <v>40</v>
      </c>
      <c r="D72" s="35">
        <v>-8.3216334021838978E-2</v>
      </c>
      <c r="E72" s="35">
        <v>0.3708934260068309</v>
      </c>
      <c r="F72" s="35">
        <v>-0.44047333605013927</v>
      </c>
      <c r="G72" s="35">
        <v>0.79168199319888199</v>
      </c>
      <c r="H72" s="35">
        <v>-0.21363844718196331</v>
      </c>
      <c r="I72" s="35">
        <v>0.31272227059233876</v>
      </c>
      <c r="J72" s="35">
        <v>-0.11711330239310852</v>
      </c>
      <c r="K72" s="35">
        <v>-0.18150465510161604</v>
      </c>
      <c r="L72" s="35">
        <v>6.3474375676273569</v>
      </c>
      <c r="M72" s="35">
        <v>9.0118990631148296E-2</v>
      </c>
      <c r="N72" s="35">
        <v>0.55266479030588256</v>
      </c>
      <c r="O72" s="35">
        <v>-0.16210736309196</v>
      </c>
      <c r="P72" s="35">
        <v>0.34059784831060308</v>
      </c>
      <c r="R72" s="44"/>
    </row>
    <row r="73" spans="2:18" s="3" customFormat="1" ht="18" customHeight="1" thickTop="1" thickBot="1">
      <c r="B73" s="261" t="s">
        <v>7</v>
      </c>
      <c r="C73" s="31" t="s">
        <v>65</v>
      </c>
      <c r="D73" s="34">
        <v>3.4041394</v>
      </c>
      <c r="E73" s="34">
        <v>4.3113723200000003</v>
      </c>
      <c r="F73" s="34">
        <v>5.2675130000000001</v>
      </c>
      <c r="G73" s="34">
        <v>3.1072053999999998</v>
      </c>
      <c r="H73" s="34">
        <v>4.2935007499999998</v>
      </c>
      <c r="I73" s="34">
        <v>4.6389279999999991</v>
      </c>
      <c r="J73" s="34">
        <v>4.744297790000001</v>
      </c>
      <c r="K73" s="34">
        <v>3.4686149499999996</v>
      </c>
      <c r="L73" s="34">
        <v>4.8614707399999997</v>
      </c>
      <c r="M73" s="34">
        <v>2.78354218</v>
      </c>
      <c r="N73" s="34">
        <v>2.4808270399999999</v>
      </c>
      <c r="O73" s="34">
        <v>4.0512656900000001</v>
      </c>
      <c r="P73" s="34">
        <v>47.412677260000002</v>
      </c>
      <c r="R73" s="44"/>
    </row>
    <row r="74" spans="2:18" s="3" customFormat="1" ht="18" customHeight="1" thickTop="1" thickBot="1">
      <c r="B74" s="261"/>
      <c r="C74" s="29" t="s">
        <v>59</v>
      </c>
      <c r="D74" s="34">
        <v>7.80689118</v>
      </c>
      <c r="E74" s="34">
        <v>4.485432610000001</v>
      </c>
      <c r="F74" s="34">
        <v>7.8450150000000001</v>
      </c>
      <c r="G74" s="34">
        <v>9.5596569500000008</v>
      </c>
      <c r="H74" s="34">
        <v>9.0120256100000002</v>
      </c>
      <c r="I74" s="34">
        <v>6.6423744799999991</v>
      </c>
      <c r="J74" s="34">
        <v>9.7412621000000055</v>
      </c>
      <c r="K74" s="34">
        <v>7.6727204399999991</v>
      </c>
      <c r="L74" s="34">
        <v>12.467242170000002</v>
      </c>
      <c r="M74" s="34">
        <v>10.046595570000001</v>
      </c>
      <c r="N74" s="34">
        <v>5.6188723799999991</v>
      </c>
      <c r="O74" s="34">
        <v>4.5323315199999996</v>
      </c>
      <c r="P74" s="34">
        <v>95.43042001000002</v>
      </c>
      <c r="R74" s="44"/>
    </row>
    <row r="75" spans="2:18" s="3" customFormat="1" ht="18" customHeight="1" thickTop="1" thickBot="1">
      <c r="B75" s="261"/>
      <c r="C75" s="29" t="s">
        <v>60</v>
      </c>
      <c r="D75" s="34">
        <v>0.13975681000000004</v>
      </c>
      <c r="E75" s="34">
        <v>0.10474350999999998</v>
      </c>
      <c r="F75" s="34">
        <v>3.5700999999999997E-2</v>
      </c>
      <c r="G75" s="34">
        <v>2.8481400000000012E-3</v>
      </c>
      <c r="H75" s="34">
        <v>0.43090538000000006</v>
      </c>
      <c r="I75" s="34">
        <v>0.3233145</v>
      </c>
      <c r="J75" s="34">
        <v>0.11788999000000001</v>
      </c>
      <c r="K75" s="34">
        <v>0.17848718000000002</v>
      </c>
      <c r="L75" s="34">
        <v>0.32891322999999995</v>
      </c>
      <c r="M75" s="34">
        <v>0.22875373000000007</v>
      </c>
      <c r="N75" s="34">
        <v>0.25738968999999995</v>
      </c>
      <c r="O75" s="34">
        <v>0.23834024000000006</v>
      </c>
      <c r="P75" s="34">
        <v>2.3870434</v>
      </c>
      <c r="R75" s="44"/>
    </row>
    <row r="76" spans="2:18" s="3" customFormat="1" ht="18" customHeight="1" thickTop="1" thickBot="1">
      <c r="B76" s="261"/>
      <c r="C76" s="29" t="s">
        <v>139</v>
      </c>
      <c r="D76" s="34">
        <v>11.350787389999999</v>
      </c>
      <c r="E76" s="34">
        <v>8.9015484400000009</v>
      </c>
      <c r="F76" s="34">
        <v>13.148229000000001</v>
      </c>
      <c r="G76" s="34">
        <v>12.66971049</v>
      </c>
      <c r="H76" s="34">
        <v>13.73643174</v>
      </c>
      <c r="I76" s="34">
        <v>11.604616979999998</v>
      </c>
      <c r="J76" s="34">
        <v>14.603449880000007</v>
      </c>
      <c r="K76" s="34">
        <v>11.319822569999998</v>
      </c>
      <c r="L76" s="34">
        <v>17.657626140000001</v>
      </c>
      <c r="M76" s="34">
        <v>13.05889148</v>
      </c>
      <c r="N76" s="34">
        <v>8.3570891099999987</v>
      </c>
      <c r="O76" s="34">
        <v>8.8219374500000001</v>
      </c>
      <c r="P76" s="34">
        <v>145.23014067000003</v>
      </c>
      <c r="R76" s="44"/>
    </row>
    <row r="77" spans="2:18" s="3" customFormat="1" ht="18" customHeight="1" thickTop="1" thickBot="1">
      <c r="B77" s="261"/>
      <c r="C77" s="32" t="s">
        <v>40</v>
      </c>
      <c r="D77" s="35">
        <v>-0.32292913125081574</v>
      </c>
      <c r="E77" s="35">
        <v>-0.2649502445864233</v>
      </c>
      <c r="F77" s="35">
        <v>-1.0373483690599259E-2</v>
      </c>
      <c r="G77" s="35">
        <v>-0.26962086248497835</v>
      </c>
      <c r="H77" s="35">
        <v>0.28793944353081208</v>
      </c>
      <c r="I77" s="35">
        <v>-6.5169445801396608E-2</v>
      </c>
      <c r="J77" s="35">
        <v>6.0000098440584598E-2</v>
      </c>
      <c r="K77" s="35">
        <v>-8.7933951821509287E-3</v>
      </c>
      <c r="L77" s="35">
        <v>0.74736052255043095</v>
      </c>
      <c r="M77" s="35">
        <v>0.18090200399378947</v>
      </c>
      <c r="N77" s="35">
        <v>-0.4034443340627169</v>
      </c>
      <c r="O77" s="35">
        <v>-0.1984990560987526</v>
      </c>
      <c r="P77" s="35">
        <v>-5.6720504949974153E-2</v>
      </c>
      <c r="R77" s="44"/>
    </row>
    <row r="78" spans="2:18" s="3" customFormat="1" ht="18" customHeight="1" thickTop="1" thickBot="1">
      <c r="B78" s="261" t="s">
        <v>3</v>
      </c>
      <c r="C78" s="31" t="s">
        <v>65</v>
      </c>
      <c r="D78" s="34">
        <v>33.069029139999998</v>
      </c>
      <c r="E78" s="34">
        <v>10.699817529999999</v>
      </c>
      <c r="F78" s="34">
        <v>4.5081495199999999</v>
      </c>
      <c r="G78" s="34">
        <v>25.105443859999994</v>
      </c>
      <c r="H78" s="34">
        <v>5.8155224899999984</v>
      </c>
      <c r="I78" s="34">
        <v>2.2787967300000007</v>
      </c>
      <c r="J78" s="34">
        <v>8.2094845100000011</v>
      </c>
      <c r="K78" s="34">
        <v>9.6166500399999997</v>
      </c>
      <c r="L78" s="34">
        <v>14.436428849999999</v>
      </c>
      <c r="M78" s="34">
        <v>8.8071549500000028</v>
      </c>
      <c r="N78" s="34">
        <v>12.59791957</v>
      </c>
      <c r="O78" s="34">
        <v>6.4207202499999996</v>
      </c>
      <c r="P78" s="34">
        <v>141.56511743999994</v>
      </c>
      <c r="R78" s="44"/>
    </row>
    <row r="79" spans="2:18" s="3" customFormat="1" ht="18" customHeight="1" thickTop="1" thickBot="1">
      <c r="B79" s="261"/>
      <c r="C79" s="29" t="s">
        <v>59</v>
      </c>
      <c r="D79" s="34">
        <v>31.729820400000005</v>
      </c>
      <c r="E79" s="34">
        <v>40.583198699999997</v>
      </c>
      <c r="F79" s="34">
        <v>19.391352850000004</v>
      </c>
      <c r="G79" s="34">
        <v>7.4823199999999979</v>
      </c>
      <c r="H79" s="34">
        <v>2.63004186</v>
      </c>
      <c r="I79" s="34">
        <v>16.122609849999996</v>
      </c>
      <c r="J79" s="34">
        <v>6.635368960000001</v>
      </c>
      <c r="K79" s="34">
        <v>32.737248300000005</v>
      </c>
      <c r="L79" s="34">
        <v>27.177943319999997</v>
      </c>
      <c r="M79" s="34">
        <v>54.228449660000003</v>
      </c>
      <c r="N79" s="34">
        <v>19.40581615</v>
      </c>
      <c r="O79" s="34">
        <v>43.169088409999979</v>
      </c>
      <c r="P79" s="34">
        <v>301.29325846</v>
      </c>
      <c r="R79" s="44"/>
    </row>
    <row r="80" spans="2:18" s="3" customFormat="1" ht="18" customHeight="1" thickTop="1" thickBot="1">
      <c r="B80" s="261"/>
      <c r="C80" s="29" t="s">
        <v>60</v>
      </c>
      <c r="D80" s="34">
        <v>7.5401560099999996</v>
      </c>
      <c r="E80" s="34">
        <v>37.971306039999995</v>
      </c>
      <c r="F80" s="34">
        <v>106.53794627000002</v>
      </c>
      <c r="G80" s="34">
        <v>11.027080859999998</v>
      </c>
      <c r="H80" s="34">
        <v>33.725486609999997</v>
      </c>
      <c r="I80" s="34">
        <v>11.874264059999998</v>
      </c>
      <c r="J80" s="34">
        <v>21.34890694000001</v>
      </c>
      <c r="K80" s="34">
        <v>14.658918670000004</v>
      </c>
      <c r="L80" s="34">
        <v>15.45545896</v>
      </c>
      <c r="M80" s="34">
        <v>11.82603703</v>
      </c>
      <c r="N80" s="34">
        <v>13.998881950000001</v>
      </c>
      <c r="O80" s="34">
        <v>3.0085583599999999</v>
      </c>
      <c r="P80" s="34">
        <v>288.97300175999999</v>
      </c>
      <c r="R80" s="44"/>
    </row>
    <row r="81" spans="2:18" s="3" customFormat="1" ht="18" customHeight="1" thickTop="1" thickBot="1">
      <c r="B81" s="261"/>
      <c r="C81" s="29" t="s">
        <v>139</v>
      </c>
      <c r="D81" s="34">
        <v>72.33900555000001</v>
      </c>
      <c r="E81" s="34">
        <v>89.254322269999989</v>
      </c>
      <c r="F81" s="34">
        <v>130.43744864000001</v>
      </c>
      <c r="G81" s="34">
        <v>43.614844719999994</v>
      </c>
      <c r="H81" s="34">
        <v>42.171050959999995</v>
      </c>
      <c r="I81" s="34">
        <v>30.275670639999994</v>
      </c>
      <c r="J81" s="34">
        <v>36.19376041000001</v>
      </c>
      <c r="K81" s="34">
        <v>57.012817010000006</v>
      </c>
      <c r="L81" s="34">
        <v>57.069831129999997</v>
      </c>
      <c r="M81" s="34">
        <v>74.861641640000002</v>
      </c>
      <c r="N81" s="34">
        <v>46.002617670000006</v>
      </c>
      <c r="O81" s="34">
        <v>52.598367019999984</v>
      </c>
      <c r="P81" s="34">
        <v>731.83137765999993</v>
      </c>
      <c r="R81" s="44"/>
    </row>
    <row r="82" spans="2:18" s="3" customFormat="1" ht="18" customHeight="1" thickTop="1" thickBot="1">
      <c r="B82" s="261"/>
      <c r="C82" s="32" t="s">
        <v>40</v>
      </c>
      <c r="D82" s="35">
        <v>-0.10910998349937545</v>
      </c>
      <c r="E82" s="35">
        <v>-0.13108910721179581</v>
      </c>
      <c r="F82" s="35">
        <v>2.1246101620442461</v>
      </c>
      <c r="G82" s="35">
        <v>-0.1166957254690264</v>
      </c>
      <c r="H82" s="35">
        <v>-0.20792113162264936</v>
      </c>
      <c r="I82" s="35">
        <v>-0.46969857036157536</v>
      </c>
      <c r="J82" s="35">
        <v>-0.60093636167036868</v>
      </c>
      <c r="K82" s="35">
        <v>-0.10486826467112878</v>
      </c>
      <c r="L82" s="35">
        <v>-5.9185660026295189E-2</v>
      </c>
      <c r="M82" s="35">
        <v>0.67694094360140933</v>
      </c>
      <c r="N82" s="35">
        <v>6.6099202317219774E-2</v>
      </c>
      <c r="O82" s="35">
        <v>-0.19778302187977786</v>
      </c>
      <c r="P82" s="35">
        <v>-2.9118296409531317E-2</v>
      </c>
      <c r="R82" s="44"/>
    </row>
    <row r="83" spans="2:18" ht="18" customHeight="1" thickTop="1" thickBot="1">
      <c r="B83" s="261" t="s">
        <v>61</v>
      </c>
      <c r="C83" s="31" t="s">
        <v>65</v>
      </c>
      <c r="D83" s="34">
        <f t="shared" ref="D83:P83" si="2">+D78+D73+D68+D63+D58+D53+D48+D43+D38+D33+D28+D23+D18+D13+D8+D3</f>
        <v>635.29197628999998</v>
      </c>
      <c r="E83" s="34">
        <f t="shared" si="2"/>
        <v>541.963335411</v>
      </c>
      <c r="F83" s="34">
        <f t="shared" si="2"/>
        <v>541.96094596</v>
      </c>
      <c r="G83" s="34">
        <f t="shared" si="2"/>
        <v>678.95346510699983</v>
      </c>
      <c r="H83" s="34">
        <f t="shared" si="2"/>
        <v>633.69856244999994</v>
      </c>
      <c r="I83" s="34">
        <f t="shared" si="2"/>
        <v>591.57846623899991</v>
      </c>
      <c r="J83" s="34">
        <f t="shared" si="2"/>
        <v>653.567572595</v>
      </c>
      <c r="K83" s="34">
        <f t="shared" si="2"/>
        <v>647.526537588</v>
      </c>
      <c r="L83" s="34">
        <f t="shared" si="2"/>
        <v>707.95495778500003</v>
      </c>
      <c r="M83" s="34">
        <f t="shared" si="2"/>
        <v>638.93971057700014</v>
      </c>
      <c r="N83" s="34">
        <f t="shared" si="2"/>
        <v>543.895981936</v>
      </c>
      <c r="O83" s="34">
        <f t="shared" si="2"/>
        <v>506.86590740199995</v>
      </c>
      <c r="P83" s="34">
        <f t="shared" si="2"/>
        <v>7249.133839869749</v>
      </c>
      <c r="R83" s="14"/>
    </row>
    <row r="84" spans="2:18" ht="18" customHeight="1" thickTop="1" thickBot="1">
      <c r="B84" s="261"/>
      <c r="C84" s="29" t="s">
        <v>59</v>
      </c>
      <c r="D84" s="34">
        <f t="shared" ref="D84:P84" si="3">+D79+D74+D69+D64+D59+D54+D49+D44+D39+D34+D29+D24+D19+D14+D9+D4</f>
        <v>1298.4269129840002</v>
      </c>
      <c r="E84" s="34">
        <f t="shared" si="3"/>
        <v>1200.4063079690002</v>
      </c>
      <c r="F84" s="34">
        <f t="shared" si="3"/>
        <v>1361.0602781259997</v>
      </c>
      <c r="G84" s="34">
        <f t="shared" si="3"/>
        <v>1475.0011124890004</v>
      </c>
      <c r="H84" s="34">
        <f t="shared" si="3"/>
        <v>1523.0814235759999</v>
      </c>
      <c r="I84" s="34">
        <f t="shared" si="3"/>
        <v>1366.3659243990001</v>
      </c>
      <c r="J84" s="34">
        <f t="shared" si="3"/>
        <v>1513.9895793609999</v>
      </c>
      <c r="K84" s="34">
        <f t="shared" si="3"/>
        <v>1413.9743577090001</v>
      </c>
      <c r="L84" s="34">
        <f t="shared" si="3"/>
        <v>1808.0921687069999</v>
      </c>
      <c r="M84" s="34">
        <f t="shared" si="3"/>
        <v>1554.9439901409999</v>
      </c>
      <c r="N84" s="34">
        <f t="shared" si="3"/>
        <v>1316.4404637460002</v>
      </c>
      <c r="O84" s="34">
        <f t="shared" si="3"/>
        <v>1243.4388226860003</v>
      </c>
      <c r="P84" s="34">
        <f t="shared" si="3"/>
        <v>16427.858764222165</v>
      </c>
      <c r="R84" s="14"/>
    </row>
    <row r="85" spans="2:18" ht="18" customHeight="1" thickTop="1" thickBot="1">
      <c r="B85" s="261"/>
      <c r="C85" s="29" t="s">
        <v>60</v>
      </c>
      <c r="D85" s="34">
        <f t="shared" ref="D85:P85" si="4">+D80+D75+D70+D65+D60+D55+D50+D45+D40+D35+D30+D25+D20+D15+D10+D5</f>
        <v>71.423208848999963</v>
      </c>
      <c r="E85" s="34">
        <f t="shared" si="4"/>
        <v>83.622324208999984</v>
      </c>
      <c r="F85" s="34">
        <f t="shared" si="4"/>
        <v>163.70063820000004</v>
      </c>
      <c r="G85" s="34">
        <f t="shared" si="4"/>
        <v>80.370227229999998</v>
      </c>
      <c r="H85" s="34">
        <f t="shared" si="4"/>
        <v>116.18237162700005</v>
      </c>
      <c r="I85" s="34">
        <f t="shared" si="4"/>
        <v>70.218661689000015</v>
      </c>
      <c r="J85" s="34">
        <f t="shared" si="4"/>
        <v>81.018751530999978</v>
      </c>
      <c r="K85" s="34">
        <f t="shared" si="4"/>
        <v>81.531006934000018</v>
      </c>
      <c r="L85" s="34">
        <f t="shared" si="4"/>
        <v>73.930784376999981</v>
      </c>
      <c r="M85" s="34">
        <f t="shared" si="4"/>
        <v>89.224215385999997</v>
      </c>
      <c r="N85" s="34">
        <f t="shared" si="4"/>
        <v>68.760665952000025</v>
      </c>
      <c r="O85" s="34">
        <f t="shared" si="4"/>
        <v>71.619689733000016</v>
      </c>
      <c r="P85" s="34">
        <f t="shared" si="4"/>
        <v>1042.1361894217866</v>
      </c>
      <c r="R85" s="14"/>
    </row>
    <row r="86" spans="2:18" ht="18" customHeight="1" thickTop="1" thickBot="1">
      <c r="B86" s="261"/>
      <c r="C86" s="29" t="s">
        <v>139</v>
      </c>
      <c r="D86" s="34">
        <f>+D85+D84+D83</f>
        <v>2005.1420981230003</v>
      </c>
      <c r="E86" s="34">
        <f t="shared" ref="E86:O86" si="5">+E85+E84+E83</f>
        <v>1825.9919675890001</v>
      </c>
      <c r="F86" s="34">
        <f t="shared" si="5"/>
        <v>2066.7218622859996</v>
      </c>
      <c r="G86" s="34">
        <f t="shared" si="5"/>
        <v>2234.3248048260002</v>
      </c>
      <c r="H86" s="34">
        <f t="shared" si="5"/>
        <v>2272.9623576529998</v>
      </c>
      <c r="I86" s="34">
        <f t="shared" si="5"/>
        <v>2028.1630523270001</v>
      </c>
      <c r="J86" s="34">
        <f t="shared" si="5"/>
        <v>2248.5759034869998</v>
      </c>
      <c r="K86" s="34">
        <f t="shared" si="5"/>
        <v>2143.031902231</v>
      </c>
      <c r="L86" s="34">
        <f t="shared" si="5"/>
        <v>2589.977910869</v>
      </c>
      <c r="M86" s="34">
        <f t="shared" si="5"/>
        <v>2283.1079161039997</v>
      </c>
      <c r="N86" s="34">
        <f t="shared" si="5"/>
        <v>1929.0971116340002</v>
      </c>
      <c r="O86" s="34">
        <f t="shared" si="5"/>
        <v>1821.9244198210004</v>
      </c>
      <c r="P86" s="34">
        <f>+P85+P84+P83</f>
        <v>24719.128793513701</v>
      </c>
      <c r="R86" s="14"/>
    </row>
    <row r="87" spans="2:18" ht="18" customHeight="1" thickTop="1" thickBot="1">
      <c r="B87" s="261"/>
      <c r="C87" s="32" t="s">
        <v>40</v>
      </c>
      <c r="D87" s="35">
        <v>2.2537299598827595E-2</v>
      </c>
      <c r="E87" s="35">
        <v>1.5976494201204703E-2</v>
      </c>
      <c r="F87" s="35">
        <v>0.18112802555663046</v>
      </c>
      <c r="G87" s="35">
        <v>2.9973555771502791E-2</v>
      </c>
      <c r="H87" s="35">
        <v>-6.6454215428520208E-4</v>
      </c>
      <c r="I87" s="35">
        <v>0.18919593951084179</v>
      </c>
      <c r="J87" s="35">
        <v>5.1238844453791177E-2</v>
      </c>
      <c r="K87" s="35">
        <v>0.11674810448937355</v>
      </c>
      <c r="L87" s="35">
        <v>0.24190535281513864</v>
      </c>
      <c r="M87" s="35">
        <v>-3.3161117674632083E-2</v>
      </c>
      <c r="N87" s="35">
        <v>0.19420666014630178</v>
      </c>
      <c r="O87" s="35">
        <v>-3.567205944033109E-2</v>
      </c>
      <c r="P87" s="35">
        <v>7.3926835864122187E-2</v>
      </c>
      <c r="R87" s="14"/>
    </row>
    <row r="88" spans="2:18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2"/>
      <c r="Q88" s="5"/>
      <c r="R88" s="44"/>
    </row>
    <row r="89" spans="2:18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2"/>
      <c r="Q89" s="5"/>
      <c r="R89" s="44"/>
    </row>
    <row r="90" spans="2:18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2"/>
      <c r="Q90" s="5"/>
      <c r="R90" s="44"/>
    </row>
    <row r="91" spans="2:18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7"/>
      <c r="K91" s="2"/>
      <c r="L91" s="2"/>
      <c r="M91" s="2"/>
      <c r="N91" s="2"/>
      <c r="O91" s="1"/>
      <c r="P91" s="2"/>
      <c r="Q91" s="5"/>
      <c r="R91" s="44"/>
    </row>
    <row r="92" spans="2:18" ht="18" customHeight="1">
      <c r="B92" s="36" t="s">
        <v>92</v>
      </c>
      <c r="Q92" s="6"/>
      <c r="R92" s="14"/>
    </row>
  </sheetData>
  <mergeCells count="17">
    <mergeCell ref="B3:B7"/>
    <mergeCell ref="B13:B17"/>
    <mergeCell ref="B18:B22"/>
    <mergeCell ref="B23:B27"/>
    <mergeCell ref="B28:B32"/>
    <mergeCell ref="B8:B12"/>
    <mergeCell ref="B33:B37"/>
    <mergeCell ref="B38:B42"/>
    <mergeCell ref="B43:B47"/>
    <mergeCell ref="B53:B57"/>
    <mergeCell ref="B58:B62"/>
    <mergeCell ref="B48:B52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U96"/>
  <sheetViews>
    <sheetView topLeftCell="B1" zoomScale="70" zoomScaleNormal="70" zoomScaleSheetLayoutView="90" workbookViewId="0">
      <selection activeCell="P5" sqref="P5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8" width="11.42578125" style="2"/>
    <col min="19" max="19" width="11.42578125" style="154"/>
    <col min="20" max="20" width="16.28515625" style="2" customWidth="1"/>
    <col min="21" max="16384" width="11.42578125" style="2"/>
  </cols>
  <sheetData>
    <row r="1" spans="2:20" s="8" customFormat="1" ht="38.25" customHeight="1" thickBot="1">
      <c r="B1" s="22" t="s">
        <v>180</v>
      </c>
      <c r="P1" s="87" t="s">
        <v>111</v>
      </c>
      <c r="S1" s="164"/>
      <c r="T1" s="38"/>
    </row>
    <row r="2" spans="2:20" ht="30" customHeight="1" thickTop="1">
      <c r="B2" s="33" t="s">
        <v>36</v>
      </c>
      <c r="C2" s="21" t="s">
        <v>23</v>
      </c>
      <c r="D2" s="158" t="s">
        <v>27</v>
      </c>
      <c r="E2" s="158" t="s">
        <v>28</v>
      </c>
      <c r="F2" s="158" t="s">
        <v>26</v>
      </c>
      <c r="G2" s="158" t="s">
        <v>22</v>
      </c>
      <c r="H2" s="158" t="s">
        <v>29</v>
      </c>
      <c r="I2" s="158" t="s">
        <v>30</v>
      </c>
      <c r="J2" s="158" t="s">
        <v>31</v>
      </c>
      <c r="K2" s="158" t="s">
        <v>32</v>
      </c>
      <c r="L2" s="158" t="s">
        <v>33</v>
      </c>
      <c r="M2" s="158" t="s">
        <v>24</v>
      </c>
      <c r="N2" s="158" t="s">
        <v>34</v>
      </c>
      <c r="O2" s="158" t="s">
        <v>35</v>
      </c>
      <c r="P2" s="158" t="s">
        <v>25</v>
      </c>
      <c r="R2" s="166" t="s">
        <v>185</v>
      </c>
      <c r="T2" s="158" t="s">
        <v>94</v>
      </c>
    </row>
    <row r="3" spans="2:20" ht="18" customHeight="1" thickBot="1">
      <c r="B3" s="259" t="s">
        <v>0</v>
      </c>
      <c r="C3" s="29" t="s">
        <v>65</v>
      </c>
      <c r="D3" s="171">
        <v>3.85</v>
      </c>
      <c r="E3" s="171">
        <v>4.7539999999999996</v>
      </c>
      <c r="F3" s="171">
        <v>10.28</v>
      </c>
      <c r="G3" s="171">
        <v>10.834</v>
      </c>
      <c r="H3" s="171">
        <v>14.744</v>
      </c>
      <c r="I3" s="171">
        <v>39.386000000000003</v>
      </c>
      <c r="J3" s="171">
        <v>20.398</v>
      </c>
      <c r="K3" s="171">
        <v>24.172999999999998</v>
      </c>
      <c r="L3" s="171">
        <v>17.439</v>
      </c>
      <c r="M3" s="171">
        <v>27.128</v>
      </c>
      <c r="N3" s="34">
        <v>13.624000000000001</v>
      </c>
      <c r="O3" s="34"/>
      <c r="P3" s="34">
        <f>+SUM(D3:O3)</f>
        <v>186.60999999999999</v>
      </c>
      <c r="R3" s="14"/>
      <c r="T3" s="34">
        <f>+'Impo 2018'!P3</f>
        <v>286.52600000000001</v>
      </c>
    </row>
    <row r="4" spans="2:20" ht="18" customHeight="1" thickTop="1" thickBot="1">
      <c r="B4" s="260"/>
      <c r="C4" s="29" t="s">
        <v>59</v>
      </c>
      <c r="D4" s="171">
        <v>16.163</v>
      </c>
      <c r="E4" s="171">
        <v>5.4889999999999999</v>
      </c>
      <c r="F4" s="171">
        <v>27.34</v>
      </c>
      <c r="G4" s="171">
        <v>17.977</v>
      </c>
      <c r="H4" s="171">
        <v>23.696999999999999</v>
      </c>
      <c r="I4" s="171">
        <v>17.175000000000001</v>
      </c>
      <c r="J4" s="171">
        <v>22.800999999999998</v>
      </c>
      <c r="K4" s="171">
        <v>21.709</v>
      </c>
      <c r="L4" s="171">
        <v>20.433</v>
      </c>
      <c r="M4" s="171">
        <v>19.725000000000001</v>
      </c>
      <c r="N4" s="34">
        <v>19.79</v>
      </c>
      <c r="O4" s="34"/>
      <c r="P4" s="34">
        <f>+SUM(D4:O4)</f>
        <v>212.29899999999998</v>
      </c>
      <c r="R4" s="14"/>
      <c r="T4" s="34">
        <f>+'Impo 2018'!P4</f>
        <v>565.4620000000001</v>
      </c>
    </row>
    <row r="5" spans="2:20" ht="18" customHeight="1" thickTop="1" thickBot="1">
      <c r="B5" s="260"/>
      <c r="C5" s="29" t="s">
        <v>60</v>
      </c>
      <c r="D5" s="171">
        <v>14.968999999999999</v>
      </c>
      <c r="E5" s="171">
        <v>43.116</v>
      </c>
      <c r="F5" s="171">
        <v>38.271999999999998</v>
      </c>
      <c r="G5" s="171">
        <v>33.715000000000003</v>
      </c>
      <c r="H5" s="171">
        <v>26.491</v>
      </c>
      <c r="I5" s="171">
        <v>46.91</v>
      </c>
      <c r="J5" s="171">
        <v>40.540999999999997</v>
      </c>
      <c r="K5" s="171">
        <v>39.408999999999999</v>
      </c>
      <c r="L5" s="171">
        <v>52.415999999999997</v>
      </c>
      <c r="M5" s="171">
        <v>52.228000000000002</v>
      </c>
      <c r="N5" s="34">
        <v>35.308</v>
      </c>
      <c r="O5" s="34"/>
      <c r="P5" s="171">
        <f>+SUM(D5:O5)</f>
        <v>423.375</v>
      </c>
      <c r="R5" s="14"/>
      <c r="T5" s="34">
        <f>+'Impo 2018'!P5</f>
        <v>34.222999999999999</v>
      </c>
    </row>
    <row r="6" spans="2:20" ht="18" customHeight="1" thickTop="1" thickBot="1">
      <c r="B6" s="260"/>
      <c r="C6" s="29" t="s">
        <v>139</v>
      </c>
      <c r="D6" s="52">
        <f>+D3+D4+D5</f>
        <v>34.981999999999999</v>
      </c>
      <c r="E6" s="52">
        <f t="shared" ref="E6:O6" si="0">+E3+E4+E5</f>
        <v>53.358999999999995</v>
      </c>
      <c r="F6" s="52">
        <f t="shared" si="0"/>
        <v>75.891999999999996</v>
      </c>
      <c r="G6" s="52">
        <f t="shared" si="0"/>
        <v>62.526000000000003</v>
      </c>
      <c r="H6" s="52">
        <f t="shared" si="0"/>
        <v>64.932000000000002</v>
      </c>
      <c r="I6" s="52">
        <f t="shared" si="0"/>
        <v>103.471</v>
      </c>
      <c r="J6" s="52">
        <f t="shared" si="0"/>
        <v>83.74</v>
      </c>
      <c r="K6" s="52">
        <f t="shared" si="0"/>
        <v>85.290999999999997</v>
      </c>
      <c r="L6" s="52">
        <f t="shared" si="0"/>
        <v>90.287999999999997</v>
      </c>
      <c r="M6" s="52">
        <f t="shared" si="0"/>
        <v>99.081000000000003</v>
      </c>
      <c r="N6" s="52">
        <f t="shared" si="0"/>
        <v>68.722000000000008</v>
      </c>
      <c r="O6" s="52">
        <f t="shared" si="0"/>
        <v>0</v>
      </c>
      <c r="P6" s="34">
        <f>+P3+P4+P5</f>
        <v>822.28399999999999</v>
      </c>
      <c r="R6" s="46">
        <f>P6-T6</f>
        <v>-63.927000000000021</v>
      </c>
      <c r="T6" s="34">
        <f>+'Impo 2018'!P6</f>
        <v>886.21100000000001</v>
      </c>
    </row>
    <row r="7" spans="2:20" ht="18" customHeight="1" thickTop="1" thickBot="1">
      <c r="B7" s="260"/>
      <c r="C7" s="32" t="s">
        <v>179</v>
      </c>
      <c r="D7" s="35">
        <f>+(D6-'Expo 2017'!D6)/'Expo 2017'!D6</f>
        <v>-0.4579947736816809</v>
      </c>
      <c r="E7" s="35">
        <f>+(E6-'Expo 2017'!E6)/'Expo 2017'!E6</f>
        <v>0.70053187234426306</v>
      </c>
      <c r="F7" s="35">
        <f>+(F6-'Expo 2017'!F6)/'Expo 2017'!F6</f>
        <v>0.45557068605074902</v>
      </c>
      <c r="G7" s="35">
        <f>+(G6-'Expo 2017'!G6)/'Expo 2017'!G6</f>
        <v>6.7215129378029675E-2</v>
      </c>
      <c r="H7" s="35">
        <f>+(H6-'Expo 2017'!H6)/'Expo 2017'!H6</f>
        <v>-2.5761826884124275E-2</v>
      </c>
      <c r="I7" s="35">
        <f>+(I6-'Expo 2017'!I6)/'Expo 2017'!I6</f>
        <v>1.0640534610013965</v>
      </c>
      <c r="J7" s="35">
        <f>+(J6-'Expo 2017'!J6)/'Expo 2017'!J6</f>
        <v>0.3225098311723178</v>
      </c>
      <c r="K7" s="35">
        <f>+(K6-'Expo 2017'!K6)/'Expo 2017'!K6</f>
        <v>0.6064416935083432</v>
      </c>
      <c r="L7" s="35">
        <f>+(L6-'Expo 2017'!L6)/'Expo 2017'!L6</f>
        <v>0.20464309539693121</v>
      </c>
      <c r="M7" s="35">
        <f>+(M6-'Expo 2017'!M6)/'Expo 2017'!M6</f>
        <v>0.84747282930085743</v>
      </c>
      <c r="N7" s="35">
        <f>+(N6-'Expo 2017'!N6)/'Expo 2017'!N6</f>
        <v>0.60384197135246642</v>
      </c>
      <c r="O7" s="35">
        <f>+(O6-'Expo 2017'!O6)/'Expo 2017'!O6</f>
        <v>-1</v>
      </c>
      <c r="P7" s="139">
        <f ca="1">(P6-SUM('Expo 2017'!$D6:OFFSET('Expo 2017'!$D6,0,Índice!$Y$5)))/SUM('Expo 2017'!$D6:OFFSET('Expo 2017'!$D6,0,Índice!$Y$5))</f>
        <v>0.34521318492952202</v>
      </c>
      <c r="R7" s="14"/>
      <c r="T7" s="35">
        <f ca="1">+'Impo 2018'!P7</f>
        <v>-5.314329452089335E-2</v>
      </c>
    </row>
    <row r="8" spans="2:20" ht="18" customHeight="1" thickTop="1" thickBot="1">
      <c r="B8" s="260" t="s">
        <v>77</v>
      </c>
      <c r="C8" s="29" t="s">
        <v>65</v>
      </c>
      <c r="D8" s="170">
        <v>0</v>
      </c>
      <c r="E8" s="34">
        <v>0</v>
      </c>
      <c r="F8" s="34">
        <v>0</v>
      </c>
      <c r="G8" s="34">
        <v>0</v>
      </c>
      <c r="H8" s="170">
        <v>0</v>
      </c>
      <c r="I8" s="170">
        <v>0</v>
      </c>
      <c r="J8" s="34">
        <v>0</v>
      </c>
      <c r="K8" s="34">
        <v>8.9999999999999998E-4</v>
      </c>
      <c r="L8" s="34">
        <v>0</v>
      </c>
      <c r="M8" s="34">
        <v>0</v>
      </c>
      <c r="N8" s="170">
        <v>0</v>
      </c>
      <c r="O8" s="34"/>
      <c r="P8" s="34">
        <f>+SUM(D8:O8)</f>
        <v>8.9999999999999998E-4</v>
      </c>
      <c r="R8" s="14"/>
      <c r="T8" s="34">
        <f>+'Impo 2018'!P8</f>
        <v>366.51099399999998</v>
      </c>
    </row>
    <row r="9" spans="2:20" ht="18" customHeight="1" thickTop="1" thickBot="1">
      <c r="B9" s="260"/>
      <c r="C9" s="29" t="s">
        <v>59</v>
      </c>
      <c r="D9" s="170">
        <v>0</v>
      </c>
      <c r="E9" s="34">
        <v>2.9380000000000001E-3</v>
      </c>
      <c r="F9" s="34">
        <v>3.5669999999999999E-3</v>
      </c>
      <c r="G9" s="34">
        <v>0</v>
      </c>
      <c r="H9" s="170">
        <v>0</v>
      </c>
      <c r="I9" s="170">
        <v>0</v>
      </c>
      <c r="J9" s="34">
        <v>0</v>
      </c>
      <c r="K9" s="34">
        <v>0</v>
      </c>
      <c r="L9" s="34">
        <v>1.508E-3</v>
      </c>
      <c r="M9" s="34">
        <v>0</v>
      </c>
      <c r="N9" s="170">
        <v>0</v>
      </c>
      <c r="O9" s="34"/>
      <c r="P9" s="34">
        <f>+SUM(D9:O9)</f>
        <v>8.013000000000001E-3</v>
      </c>
      <c r="R9" s="14"/>
      <c r="T9" s="34">
        <f>+'Impo 2018'!P9</f>
        <v>149.55120441</v>
      </c>
    </row>
    <row r="10" spans="2:20" ht="18" customHeight="1" thickTop="1" thickBot="1">
      <c r="B10" s="260"/>
      <c r="C10" s="29" t="s">
        <v>60</v>
      </c>
      <c r="D10" s="170">
        <v>0</v>
      </c>
      <c r="E10" s="34">
        <v>0</v>
      </c>
      <c r="F10" s="34">
        <v>0</v>
      </c>
      <c r="G10" s="34">
        <v>1.4E-3</v>
      </c>
      <c r="H10" s="170">
        <v>0</v>
      </c>
      <c r="I10" s="170">
        <v>0</v>
      </c>
      <c r="J10" s="34">
        <v>5.6499999999999996E-4</v>
      </c>
      <c r="K10" s="34">
        <v>5.6999999999999998E-4</v>
      </c>
      <c r="L10" s="34">
        <v>0</v>
      </c>
      <c r="M10" s="34">
        <v>0</v>
      </c>
      <c r="N10" s="170">
        <v>0</v>
      </c>
      <c r="O10" s="34"/>
      <c r="P10" s="34">
        <f>+SUM(D10:O10)</f>
        <v>2.5349999999999999E-3</v>
      </c>
      <c r="R10" s="14"/>
      <c r="T10" s="34">
        <f>+'Impo 2018'!P10</f>
        <v>9.1832901699999994</v>
      </c>
    </row>
    <row r="11" spans="2:20" ht="18" customHeight="1" thickTop="1" thickBot="1">
      <c r="B11" s="260"/>
      <c r="C11" s="29" t="s">
        <v>139</v>
      </c>
      <c r="D11" s="53">
        <f t="shared" ref="D11:P11" si="1">+D8+D9+D10</f>
        <v>0</v>
      </c>
      <c r="E11" s="52">
        <f t="shared" si="1"/>
        <v>2.9380000000000001E-3</v>
      </c>
      <c r="F11" s="52">
        <f t="shared" si="1"/>
        <v>3.5669999999999999E-3</v>
      </c>
      <c r="G11" s="52">
        <f t="shared" si="1"/>
        <v>1.4E-3</v>
      </c>
      <c r="H11" s="53">
        <f t="shared" si="1"/>
        <v>0</v>
      </c>
      <c r="I11" s="53">
        <f t="shared" si="1"/>
        <v>0</v>
      </c>
      <c r="J11" s="52">
        <f t="shared" si="1"/>
        <v>5.6499999999999996E-4</v>
      </c>
      <c r="K11" s="52">
        <f t="shared" si="1"/>
        <v>1.47E-3</v>
      </c>
      <c r="L11" s="52">
        <f t="shared" si="1"/>
        <v>1.508E-3</v>
      </c>
      <c r="M11" s="52">
        <f t="shared" si="1"/>
        <v>0</v>
      </c>
      <c r="N11" s="53">
        <f t="shared" si="1"/>
        <v>0</v>
      </c>
      <c r="O11" s="52">
        <f t="shared" si="1"/>
        <v>0</v>
      </c>
      <c r="P11" s="34">
        <f t="shared" si="1"/>
        <v>1.1448E-2</v>
      </c>
      <c r="R11" s="46">
        <f>P11-T11</f>
        <v>-525.23404057999994</v>
      </c>
      <c r="T11" s="34">
        <f>+'Impo 2018'!P11</f>
        <v>525.24548857999991</v>
      </c>
    </row>
    <row r="12" spans="2:20" ht="18" customHeight="1" thickTop="1" thickBot="1">
      <c r="B12" s="260"/>
      <c r="C12" s="32" t="s">
        <v>179</v>
      </c>
      <c r="D12" s="35">
        <f>IFERROR((D11-'Expo 2017'!D11)/'Expo 2017'!D11,0)</f>
        <v>0</v>
      </c>
      <c r="E12" s="35">
        <f>IFERROR((E11-'Expo 2017'!E11)/'Expo 2017'!E11,0)</f>
        <v>0</v>
      </c>
      <c r="F12" s="35">
        <f>IFERROR((F11-'Expo 2017'!F11)/'Expo 2017'!F11,0)</f>
        <v>0</v>
      </c>
      <c r="G12" s="35">
        <f>IFERROR((G11-'Expo 2017'!G11)/'Expo 2017'!G11,0)</f>
        <v>0</v>
      </c>
      <c r="H12" s="35">
        <f>IFERROR((H11-'Expo 2017'!H11)/'Expo 2017'!H11,0)</f>
        <v>0</v>
      </c>
      <c r="I12" s="35">
        <f>IFERROR((I11-'Expo 2017'!I11)/'Expo 2017'!I11,0)</f>
        <v>0</v>
      </c>
      <c r="J12" s="35">
        <f>IFERROR((J11-'Expo 2017'!J11)/'Expo 2017'!J11,0)</f>
        <v>0</v>
      </c>
      <c r="K12" s="35">
        <f>IFERROR((K11-'Expo 2017'!K11)/'Expo 2017'!K11,0)</f>
        <v>0</v>
      </c>
      <c r="L12" s="35">
        <f>IFERROR((L11-'Expo 2017'!L11)/'Expo 2017'!L11,0)</f>
        <v>0</v>
      </c>
      <c r="M12" s="35">
        <f>IFERROR((M11-'Expo 2017'!M11)/'Expo 2017'!M11,0)</f>
        <v>0</v>
      </c>
      <c r="N12" s="172">
        <f>IFERROR((N11-'Expo 2017'!N11)/'Expo 2017'!N11,0)</f>
        <v>0</v>
      </c>
      <c r="O12" s="35">
        <f>IFERROR((O11-'Expo 2017'!O11)/'Expo 2017'!O11,0)</f>
        <v>0</v>
      </c>
      <c r="P12" s="139">
        <f ca="1">IFERROR((P11-SUM('Expo 2017'!$D11:OFFSET('Expo 2017'!$D11,0,Índice!$Y$5)))/SUM('Expo 2017'!$D11:OFFSET('Expo 2017'!$D11,0,Índice!$Y$5)),0)</f>
        <v>0</v>
      </c>
      <c r="R12" s="14"/>
      <c r="T12" s="35">
        <f ca="1">+'Impo 2018'!P12</f>
        <v>7.8471025733352684E-2</v>
      </c>
    </row>
    <row r="13" spans="2:20" ht="18" customHeight="1" thickTop="1" thickBot="1">
      <c r="B13" s="260" t="s">
        <v>42</v>
      </c>
      <c r="C13" s="29" t="s">
        <v>65</v>
      </c>
      <c r="D13" s="34">
        <v>192.648</v>
      </c>
      <c r="E13" s="34">
        <v>127.84</v>
      </c>
      <c r="F13" s="34">
        <v>159.99</v>
      </c>
      <c r="G13" s="34">
        <v>177.511</v>
      </c>
      <c r="H13" s="34">
        <v>111.13800000000001</v>
      </c>
      <c r="I13" s="34">
        <v>155.273</v>
      </c>
      <c r="J13" s="171">
        <v>116.02200000000001</v>
      </c>
      <c r="K13" s="170">
        <v>124</v>
      </c>
      <c r="L13" s="170">
        <v>110</v>
      </c>
      <c r="M13" s="170">
        <v>134</v>
      </c>
      <c r="N13" s="170">
        <v>141</v>
      </c>
      <c r="O13" s="34"/>
      <c r="P13" s="34">
        <f>+SUM(D13:O13)</f>
        <v>1549.422</v>
      </c>
      <c r="R13" s="14"/>
      <c r="T13" s="34">
        <f>+'Impo 2018'!P13</f>
        <v>427.70899999999995</v>
      </c>
    </row>
    <row r="14" spans="2:20" ht="18" customHeight="1" thickTop="1" thickBot="1">
      <c r="B14" s="260"/>
      <c r="C14" s="29" t="s">
        <v>59</v>
      </c>
      <c r="D14" s="34">
        <v>284.31200000000001</v>
      </c>
      <c r="E14" s="34">
        <f>203.249+56.381</f>
        <v>259.63</v>
      </c>
      <c r="F14" s="34">
        <f>249.543+55.953</f>
        <v>305.49599999999998</v>
      </c>
      <c r="G14" s="34">
        <f>171.646+18.323</f>
        <v>189.96899999999999</v>
      </c>
      <c r="H14" s="34">
        <f>173.704+6.814</f>
        <v>180.518</v>
      </c>
      <c r="I14" s="34">
        <f>233.582+4.374</f>
        <v>237.95599999999999</v>
      </c>
      <c r="J14" s="171">
        <f>136.37+4.823</f>
        <v>141.19300000000001</v>
      </c>
      <c r="K14" s="170">
        <v>333</v>
      </c>
      <c r="L14" s="170">
        <v>98</v>
      </c>
      <c r="M14" s="170">
        <v>250</v>
      </c>
      <c r="N14" s="170">
        <v>228</v>
      </c>
      <c r="O14" s="34"/>
      <c r="P14" s="34">
        <f>+SUM(D14:O14)</f>
        <v>2508.0739999999996</v>
      </c>
      <c r="R14" s="14"/>
      <c r="T14" s="34">
        <f>+'Impo 2018'!P14</f>
        <v>1393.8</v>
      </c>
    </row>
    <row r="15" spans="2:20" ht="18" customHeight="1" thickTop="1" thickBot="1">
      <c r="B15" s="260"/>
      <c r="C15" s="29" t="s">
        <v>60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171">
        <v>0</v>
      </c>
      <c r="K15" s="170">
        <v>0</v>
      </c>
      <c r="L15" s="170">
        <v>0</v>
      </c>
      <c r="M15" s="34">
        <v>0</v>
      </c>
      <c r="N15" s="170">
        <v>0</v>
      </c>
      <c r="O15" s="34"/>
      <c r="P15" s="34">
        <f>+SUM(D15:O15)</f>
        <v>0</v>
      </c>
      <c r="R15" s="14"/>
      <c r="T15" s="34">
        <f>+'Impo 2018'!P15</f>
        <v>0</v>
      </c>
    </row>
    <row r="16" spans="2:20" ht="18" customHeight="1" thickTop="1" thickBot="1">
      <c r="B16" s="260"/>
      <c r="C16" s="29" t="s">
        <v>139</v>
      </c>
      <c r="D16" s="52">
        <f t="shared" ref="D16:P16" si="2">+D13+D14+D15</f>
        <v>476.96000000000004</v>
      </c>
      <c r="E16" s="52">
        <f t="shared" si="2"/>
        <v>387.47</v>
      </c>
      <c r="F16" s="52">
        <f t="shared" si="2"/>
        <v>465.48599999999999</v>
      </c>
      <c r="G16" s="52">
        <f t="shared" si="2"/>
        <v>367.48</v>
      </c>
      <c r="H16" s="52">
        <f>+H13+H14+H15</f>
        <v>291.65600000000001</v>
      </c>
      <c r="I16" s="52">
        <f t="shared" si="2"/>
        <v>393.22899999999998</v>
      </c>
      <c r="J16" s="52">
        <f t="shared" si="2"/>
        <v>257.21500000000003</v>
      </c>
      <c r="K16" s="53">
        <f t="shared" si="2"/>
        <v>457</v>
      </c>
      <c r="L16" s="53">
        <f t="shared" si="2"/>
        <v>208</v>
      </c>
      <c r="M16" s="53">
        <f t="shared" si="2"/>
        <v>384</v>
      </c>
      <c r="N16" s="53">
        <f t="shared" si="2"/>
        <v>369</v>
      </c>
      <c r="O16" s="52">
        <f t="shared" si="2"/>
        <v>0</v>
      </c>
      <c r="P16" s="34">
        <f t="shared" si="2"/>
        <v>4057.4959999999996</v>
      </c>
      <c r="R16" s="46">
        <f>P16-T16</f>
        <v>2235.9869999999996</v>
      </c>
      <c r="T16" s="34">
        <f>+'Impo 2018'!P16</f>
        <v>1821.509</v>
      </c>
    </row>
    <row r="17" spans="2:20" ht="18" customHeight="1" thickTop="1" thickBot="1">
      <c r="B17" s="260"/>
      <c r="C17" s="32" t="s">
        <v>179</v>
      </c>
      <c r="D17" s="35">
        <f>+(D16-'Expo 2017'!D16)/'Expo 2017'!D16</f>
        <v>0.15567832133943946</v>
      </c>
      <c r="E17" s="35">
        <f>+(E16-'Expo 2017'!E16)/'Expo 2017'!E16</f>
        <v>0.13970144863592912</v>
      </c>
      <c r="F17" s="35">
        <f>+(F16-'Expo 2017'!F16)/'Expo 2017'!F16</f>
        <v>6.8841919151330047E-2</v>
      </c>
      <c r="G17" s="35">
        <f>+(G16-'Expo 2017'!G16)/'Expo 2017'!G16</f>
        <v>0.10944056999667903</v>
      </c>
      <c r="H17" s="35">
        <f>+(H16-'Expo 2017'!H16)/'Expo 2017'!H16</f>
        <v>-0.35730419280697934</v>
      </c>
      <c r="I17" s="35">
        <f>+(I16-'Expo 2017'!I16)/'Expo 2017'!I16</f>
        <v>-0.1672546843763765</v>
      </c>
      <c r="J17" s="35">
        <f>+(J16-'Expo 2017'!J16)/'Expo 2017'!J16</f>
        <v>-0.29460370393731877</v>
      </c>
      <c r="K17" s="172">
        <f>+(K16-'Expo 2017'!K16)/'Expo 2017'!K16</f>
        <v>-0.14317426747961998</v>
      </c>
      <c r="L17" s="172">
        <f>+(L16-'Expo 2017'!L16)/'Expo 2017'!L16</f>
        <v>-0.57039084106320004</v>
      </c>
      <c r="M17" s="172">
        <f>+(M16-'Expo 2017'!M16)/'Expo 2017'!M16</f>
        <v>-0.2709322194797798</v>
      </c>
      <c r="N17" s="172">
        <f>+(N16-'Expo 2017'!N16)/'Expo 2017'!N16</f>
        <v>-0.29936487140782087</v>
      </c>
      <c r="O17" s="35">
        <f>+(O16-'Expo 2017'!O16)/'Expo 2017'!O16</f>
        <v>-1</v>
      </c>
      <c r="P17" s="139">
        <f ca="1">(P16-SUM('Expo 2017'!$D16:OFFSET('Expo 2017'!$D16,0,Índice!$Y$5)))/SUM('Expo 2017'!$D16:OFFSET('Expo 2017'!$D16,0,Índice!$Y$5))</f>
        <v>-0.1687090935836778</v>
      </c>
      <c r="R17" s="14"/>
      <c r="T17" s="35">
        <f ca="1">+'Impo 2018'!P17</f>
        <v>-2.5857564661292715E-2</v>
      </c>
    </row>
    <row r="18" spans="2:20" ht="18" customHeight="1" thickTop="1" thickBot="1">
      <c r="B18" s="260" t="s">
        <v>1</v>
      </c>
      <c r="C18" s="29" t="s">
        <v>65</v>
      </c>
      <c r="D18" s="171">
        <v>8.177140859999998</v>
      </c>
      <c r="E18" s="171">
        <v>13.243188399999999</v>
      </c>
      <c r="F18" s="171">
        <v>7.1694911100000001</v>
      </c>
      <c r="G18" s="171">
        <v>13.466375840000001</v>
      </c>
      <c r="H18" s="171">
        <v>15.622663409999999</v>
      </c>
      <c r="I18" s="171">
        <v>15.199847270000001</v>
      </c>
      <c r="J18" s="171">
        <v>40.850189619999995</v>
      </c>
      <c r="K18" s="171">
        <v>1.9602858899999998</v>
      </c>
      <c r="L18" s="171">
        <v>13.96809167</v>
      </c>
      <c r="M18" s="34">
        <v>17.811497800000001</v>
      </c>
      <c r="N18" s="34">
        <v>26.651388269999998</v>
      </c>
      <c r="O18" s="159"/>
      <c r="P18" s="34">
        <f>+SUM(D18:O18)</f>
        <v>174.12016014</v>
      </c>
      <c r="R18" s="14"/>
      <c r="S18" s="156"/>
      <c r="T18" s="34">
        <f>+'Impo 2018'!P18</f>
        <v>391.21934434999997</v>
      </c>
    </row>
    <row r="19" spans="2:20" ht="18" customHeight="1" thickTop="1" thickBot="1">
      <c r="B19" s="260"/>
      <c r="C19" s="29" t="s">
        <v>59</v>
      </c>
      <c r="D19" s="171">
        <v>0.54939950000000015</v>
      </c>
      <c r="E19" s="171">
        <v>0.29254057</v>
      </c>
      <c r="F19" s="171">
        <v>0.46568290999999995</v>
      </c>
      <c r="G19" s="171">
        <v>0.40687370999999994</v>
      </c>
      <c r="H19" s="171">
        <v>0.86677325999999988</v>
      </c>
      <c r="I19" s="171">
        <v>0.51001828999999999</v>
      </c>
      <c r="J19" s="171">
        <v>0.45250863000000002</v>
      </c>
      <c r="K19" s="171">
        <v>0.69256106000000006</v>
      </c>
      <c r="L19" s="171">
        <v>0.49923892999999997</v>
      </c>
      <c r="M19" s="34">
        <v>1.4030170399999999</v>
      </c>
      <c r="N19" s="34">
        <v>13.560796779999999</v>
      </c>
      <c r="O19" s="159"/>
      <c r="P19" s="34">
        <f>+SUM(D19:O19)</f>
        <v>19.69941068</v>
      </c>
      <c r="R19" s="14"/>
      <c r="S19" s="156"/>
      <c r="T19" s="34">
        <f>+'Impo 2018'!P19</f>
        <v>1175.6519471699999</v>
      </c>
    </row>
    <row r="20" spans="2:20" ht="18" customHeight="1" thickTop="1" thickBot="1">
      <c r="B20" s="260"/>
      <c r="C20" s="29" t="s">
        <v>60</v>
      </c>
      <c r="D20" s="171">
        <v>0.12742224999999999</v>
      </c>
      <c r="E20" s="171">
        <v>0.17856567999999998</v>
      </c>
      <c r="F20" s="171">
        <v>4.642458E-2</v>
      </c>
      <c r="G20" s="171">
        <v>0.4729924499999999</v>
      </c>
      <c r="H20" s="52">
        <v>0.32064879999999996</v>
      </c>
      <c r="I20" s="52">
        <v>0.21001612999999997</v>
      </c>
      <c r="J20" s="52">
        <v>0.21722368999999997</v>
      </c>
      <c r="K20" s="171">
        <v>0.26168445000000001</v>
      </c>
      <c r="L20" s="171">
        <v>0.28635494999999994</v>
      </c>
      <c r="M20" s="34">
        <v>0.13267701000000001</v>
      </c>
      <c r="N20" s="34">
        <v>0.20896844000000001</v>
      </c>
      <c r="O20" s="159"/>
      <c r="P20" s="34">
        <f>+SUM(D20:O20)</f>
        <v>2.4629784299999997</v>
      </c>
      <c r="R20" s="14"/>
      <c r="S20" s="156"/>
      <c r="T20" s="34">
        <f>+'Impo 2018'!P20</f>
        <v>25.880298489999998</v>
      </c>
    </row>
    <row r="21" spans="2:20" ht="18" customHeight="1" thickTop="1" thickBot="1">
      <c r="B21" s="260"/>
      <c r="C21" s="29" t="s">
        <v>139</v>
      </c>
      <c r="D21" s="52">
        <f t="shared" ref="D21:P21" si="3">+D18+D19+D20</f>
        <v>8.8539626099999982</v>
      </c>
      <c r="E21" s="52">
        <f t="shared" si="3"/>
        <v>13.714294649999999</v>
      </c>
      <c r="F21" s="52">
        <f t="shared" si="3"/>
        <v>7.6815986000000001</v>
      </c>
      <c r="G21" s="52">
        <f t="shared" si="3"/>
        <v>14.346242</v>
      </c>
      <c r="H21" s="52">
        <f t="shared" si="3"/>
        <v>16.810085470000001</v>
      </c>
      <c r="I21" s="52">
        <f t="shared" si="3"/>
        <v>15.91988169</v>
      </c>
      <c r="J21" s="52">
        <f t="shared" si="3"/>
        <v>41.519921939999989</v>
      </c>
      <c r="K21" s="52">
        <f t="shared" si="3"/>
        <v>2.9145314</v>
      </c>
      <c r="L21" s="52">
        <f t="shared" si="3"/>
        <v>14.75368555</v>
      </c>
      <c r="M21" s="52">
        <f t="shared" si="3"/>
        <v>19.347191849999998</v>
      </c>
      <c r="N21" s="52">
        <f t="shared" si="3"/>
        <v>40.421153489999995</v>
      </c>
      <c r="O21" s="160">
        <f t="shared" si="3"/>
        <v>0</v>
      </c>
      <c r="P21" s="34">
        <f t="shared" si="3"/>
        <v>196.28254924999999</v>
      </c>
      <c r="R21" s="46">
        <f>P21-T21</f>
        <v>-1396.4690407600001</v>
      </c>
      <c r="T21" s="34">
        <f>+'Impo 2018'!P21</f>
        <v>1592.75159001</v>
      </c>
    </row>
    <row r="22" spans="2:20" ht="18" customHeight="1" thickTop="1" thickBot="1">
      <c r="B22" s="260"/>
      <c r="C22" s="32" t="s">
        <v>179</v>
      </c>
      <c r="D22" s="35">
        <f>+(D21-'Expo 2017'!D21)/'Expo 2017'!D21</f>
        <v>-0.51292392239477724</v>
      </c>
      <c r="E22" s="35">
        <f>+(E21-'Expo 2017'!E21)/'Expo 2017'!E21</f>
        <v>1.3228505164512745</v>
      </c>
      <c r="F22" s="35">
        <f>+(F21-'Expo 2017'!F21)/'Expo 2017'!F21</f>
        <v>1.2643983190329637</v>
      </c>
      <c r="G22" s="35">
        <f>+(G21-'Expo 2017'!G21)/'Expo 2017'!G21</f>
        <v>9.1059330610938858</v>
      </c>
      <c r="H22" s="35">
        <f>+(H21-'Expo 2017'!H21)/'Expo 2017'!H21</f>
        <v>-0.22360543761706392</v>
      </c>
      <c r="I22" s="35">
        <f>+(I21-'Expo 2017'!I21)/'Expo 2017'!I21</f>
        <v>5.3491673944301006</v>
      </c>
      <c r="J22" s="35">
        <f>+(J21-'Expo 2017'!J21)/'Expo 2017'!J21</f>
        <v>2.5139817483444835</v>
      </c>
      <c r="K22" s="35">
        <f>+(K21-'Expo 2017'!K21)/'Expo 2017'!K21</f>
        <v>-5.3855466434068827E-2</v>
      </c>
      <c r="L22" s="35">
        <f>+(L21-'Expo 2017'!L21)/'Expo 2017'!L21</f>
        <v>0.49948006397393518</v>
      </c>
      <c r="M22" s="35">
        <f>+(M21-'Expo 2017'!M21)/'Expo 2017'!M21</f>
        <v>0.83576056753650352</v>
      </c>
      <c r="N22" s="35">
        <f>+(N21-'Expo 2017'!N21)/'Expo 2017'!N21</f>
        <v>4.8946661688416544</v>
      </c>
      <c r="O22" s="148">
        <f>+(O21-'Expo 2017'!O21)/'Expo 2017'!O21</f>
        <v>-1</v>
      </c>
      <c r="P22" s="139">
        <f ca="1">(P21-SUM('Expo 2017'!$D21:OFFSET('Expo 2017'!$D21,0,Índice!$Y$5)))/SUM('Expo 2017'!$D21:OFFSET('Expo 2017'!$D21,0,Índice!$Y$5))</f>
        <v>1.0621333161068922</v>
      </c>
      <c r="R22" s="14"/>
      <c r="T22" s="35">
        <f ca="1">+'Impo 2018'!P22</f>
        <v>8.3693014975592984E-3</v>
      </c>
    </row>
    <row r="23" spans="2:20" ht="18" customHeight="1" thickTop="1" thickBot="1">
      <c r="B23" s="260" t="s">
        <v>2</v>
      </c>
      <c r="C23" s="29" t="s">
        <v>65</v>
      </c>
      <c r="D23" s="171">
        <v>0.59014249999999979</v>
      </c>
      <c r="E23" s="171">
        <v>8.894640999999999E-2</v>
      </c>
      <c r="F23" s="171">
        <v>1.6E-2</v>
      </c>
      <c r="G23" s="171">
        <v>0.33333698000000006</v>
      </c>
      <c r="H23" s="171">
        <v>0.16540235</v>
      </c>
      <c r="I23" s="171">
        <v>0.16695411999999998</v>
      </c>
      <c r="J23" s="171">
        <v>0.16854970999999999</v>
      </c>
      <c r="K23" s="52">
        <v>5.3218009999999996E-2</v>
      </c>
      <c r="L23" s="52">
        <v>5.6915860000000013E-2</v>
      </c>
      <c r="M23" s="52">
        <v>9.5000000000000001E-2</v>
      </c>
      <c r="N23" s="52">
        <v>0.90149913999999998</v>
      </c>
      <c r="O23" s="147"/>
      <c r="P23" s="34">
        <f>+SUM(D23:O23)</f>
        <v>2.6359650799999996</v>
      </c>
      <c r="Q23" s="154"/>
      <c r="R23" s="155"/>
      <c r="S23" s="156"/>
      <c r="T23" s="34">
        <f>+'Impo 2018'!P23</f>
        <v>901.03878830000008</v>
      </c>
    </row>
    <row r="24" spans="2:20" ht="18" customHeight="1" thickTop="1" thickBot="1">
      <c r="B24" s="260"/>
      <c r="C24" s="29" t="s">
        <v>59</v>
      </c>
      <c r="D24" s="171">
        <v>5.4475920699999998</v>
      </c>
      <c r="E24" s="171">
        <v>1.7946845800000002</v>
      </c>
      <c r="F24" s="171">
        <v>2.8652666500000006</v>
      </c>
      <c r="G24" s="171">
        <v>8.2907416600000019</v>
      </c>
      <c r="H24" s="171">
        <v>4.3024532500000001</v>
      </c>
      <c r="I24" s="171">
        <v>2.0180582400000002</v>
      </c>
      <c r="J24" s="171">
        <v>6.3070416899999993</v>
      </c>
      <c r="K24" s="171">
        <v>1.1183306200000001</v>
      </c>
      <c r="L24" s="171">
        <v>5.2223900000000016</v>
      </c>
      <c r="M24" s="34">
        <v>1.6313332</v>
      </c>
      <c r="N24" s="171">
        <v>6</v>
      </c>
      <c r="O24" s="147"/>
      <c r="P24" s="34">
        <f>+SUM(D24:O24)</f>
        <v>44.997891960000004</v>
      </c>
      <c r="Q24" s="154"/>
      <c r="R24" s="155"/>
      <c r="S24" s="156"/>
      <c r="T24" s="34">
        <f>+'Impo 2018'!P24</f>
        <v>1166.5330840399999</v>
      </c>
    </row>
    <row r="25" spans="2:20" ht="18" customHeight="1" thickTop="1" thickBot="1">
      <c r="B25" s="260"/>
      <c r="C25" s="29" t="s">
        <v>60</v>
      </c>
      <c r="D25" s="171">
        <v>1.88776107</v>
      </c>
      <c r="E25" s="171">
        <v>2.6767526100000003</v>
      </c>
      <c r="F25" s="171">
        <v>4.2977179399999992</v>
      </c>
      <c r="G25" s="171">
        <v>5.5281047299999999</v>
      </c>
      <c r="H25" s="171">
        <v>6.2928683599999999</v>
      </c>
      <c r="I25" s="171">
        <v>2.0079969800000006</v>
      </c>
      <c r="J25" s="171">
        <v>0.72445420999999999</v>
      </c>
      <c r="K25" s="171">
        <v>5.8693479400000008</v>
      </c>
      <c r="L25" s="171">
        <v>2.31069821</v>
      </c>
      <c r="M25" s="34">
        <v>3.5344432100000001</v>
      </c>
      <c r="N25" s="171">
        <v>0.39669496999999998</v>
      </c>
      <c r="O25" s="147"/>
      <c r="P25" s="34">
        <f>+SUM(D25:O25)</f>
        <v>35.526840229999998</v>
      </c>
      <c r="Q25" s="154"/>
      <c r="R25" s="155"/>
      <c r="S25" s="156"/>
      <c r="T25" s="34">
        <f>+'Impo 2018'!P25</f>
        <v>200.38121086999999</v>
      </c>
    </row>
    <row r="26" spans="2:20" ht="18" customHeight="1" thickTop="1" thickBot="1">
      <c r="B26" s="260"/>
      <c r="C26" s="29" t="s">
        <v>139</v>
      </c>
      <c r="D26" s="52">
        <f t="shared" ref="D26:P26" si="4">+D23+D24+D25</f>
        <v>7.9254956399999994</v>
      </c>
      <c r="E26" s="52">
        <f t="shared" si="4"/>
        <v>4.5603836000000006</v>
      </c>
      <c r="F26" s="52">
        <f t="shared" si="4"/>
        <v>7.1789845899999998</v>
      </c>
      <c r="G26" s="52">
        <f t="shared" si="4"/>
        <v>14.152183370000003</v>
      </c>
      <c r="H26" s="52">
        <f t="shared" si="4"/>
        <v>10.76072396</v>
      </c>
      <c r="I26" s="52">
        <f t="shared" si="4"/>
        <v>4.1930093400000006</v>
      </c>
      <c r="J26" s="52">
        <f t="shared" si="4"/>
        <v>7.2000456099999992</v>
      </c>
      <c r="K26" s="52">
        <f t="shared" si="4"/>
        <v>7.040896570000001</v>
      </c>
      <c r="L26" s="52">
        <f t="shared" si="4"/>
        <v>7.5900040700000018</v>
      </c>
      <c r="M26" s="52">
        <f t="shared" si="4"/>
        <v>5.2607764100000001</v>
      </c>
      <c r="N26" s="52">
        <f t="shared" si="4"/>
        <v>7.2981941100000007</v>
      </c>
      <c r="O26" s="162">
        <f t="shared" si="4"/>
        <v>0</v>
      </c>
      <c r="P26" s="34">
        <f t="shared" si="4"/>
        <v>83.16069727</v>
      </c>
      <c r="Q26" s="154"/>
      <c r="R26" s="157">
        <f>P26-T26</f>
        <v>-2184.7923859399998</v>
      </c>
      <c r="T26" s="34">
        <f>+'Impo 2018'!P26</f>
        <v>2267.9530832099999</v>
      </c>
    </row>
    <row r="27" spans="2:20" ht="18" customHeight="1" thickTop="1" thickBot="1">
      <c r="B27" s="260"/>
      <c r="C27" s="32" t="s">
        <v>179</v>
      </c>
      <c r="D27" s="35">
        <f>+(D26-'Expo 2017'!D26)/'Expo 2017'!D26</f>
        <v>0.66968808783104772</v>
      </c>
      <c r="E27" s="35">
        <f>+(E26-'Expo 2017'!E26)/'Expo 2017'!E26</f>
        <v>-0.32891192952482151</v>
      </c>
      <c r="F27" s="35">
        <f>+(F26-'Expo 2017'!F26)/'Expo 2017'!F26</f>
        <v>-3.8589081822009187E-3</v>
      </c>
      <c r="G27" s="35">
        <f>+(G26-'Expo 2017'!G26)/'Expo 2017'!G26</f>
        <v>0.89106502714183711</v>
      </c>
      <c r="H27" s="35">
        <f>+(H26-'Expo 2017'!H26)/'Expo 2017'!H26</f>
        <v>0.7128954252316182</v>
      </c>
      <c r="I27" s="35">
        <f>+(I26-'Expo 2017'!I26)/'Expo 2017'!I26</f>
        <v>-0.17232365508450168</v>
      </c>
      <c r="J27" s="35">
        <f>+(J26-'Expo 2017'!J26)/'Expo 2017'!J26</f>
        <v>0.266614608080539</v>
      </c>
      <c r="K27" s="35">
        <f>+(K26-'Expo 2017'!K26)/'Expo 2017'!K26</f>
        <v>-7.1519795250719227E-3</v>
      </c>
      <c r="L27" s="35">
        <f>+(L26-'Expo 2017'!L26)/'Expo 2017'!L26</f>
        <v>0.10084147958492172</v>
      </c>
      <c r="M27" s="35">
        <f>+(M26-'Expo 2017'!M26)/'Expo 2017'!M26</f>
        <v>-0.57581358065019761</v>
      </c>
      <c r="N27" s="35">
        <f>+(N26-'Expo 2017'!N26)/'Expo 2017'!N26</f>
        <v>0.47306349483019872</v>
      </c>
      <c r="O27" s="148">
        <f>+(O26-'Expo 2017'!O26)/'Expo 2017'!O26</f>
        <v>-1</v>
      </c>
      <c r="P27" s="139">
        <f ca="1">(P26-SUM('Expo 2017'!$D26:OFFSET('Expo 2017'!$D26,0,Índice!$Y$5)))/SUM('Expo 2017'!$D26:OFFSET('Expo 2017'!$D26,0,Índice!$Y$5))</f>
        <v>0.11463233674569588</v>
      </c>
      <c r="Q27" s="154"/>
      <c r="R27" s="155"/>
      <c r="T27" s="35">
        <f ca="1">+'Impo 2018'!P27</f>
        <v>9.3237876151711599E-2</v>
      </c>
    </row>
    <row r="28" spans="2:20" s="3" customFormat="1" ht="18" customHeight="1" thickTop="1" thickBot="1">
      <c r="B28" s="260" t="s">
        <v>5</v>
      </c>
      <c r="C28" s="29" t="s">
        <v>65</v>
      </c>
      <c r="D28" s="171">
        <v>2.5849739999999999</v>
      </c>
      <c r="E28" s="171">
        <v>7.6084839999999998</v>
      </c>
      <c r="F28" s="171">
        <v>12.514384</v>
      </c>
      <c r="G28" s="171">
        <v>4.4510990000000001</v>
      </c>
      <c r="H28" s="171">
        <v>8.53979</v>
      </c>
      <c r="I28" s="171">
        <v>2.7530459999999999</v>
      </c>
      <c r="J28" s="171">
        <v>14.085813</v>
      </c>
      <c r="K28" s="171">
        <v>2.868719</v>
      </c>
      <c r="L28" s="171">
        <v>8.937201</v>
      </c>
      <c r="M28" s="170">
        <v>9</v>
      </c>
      <c r="N28" s="170">
        <v>7</v>
      </c>
      <c r="O28" s="147"/>
      <c r="P28" s="34">
        <f>+SUM(D28:O28)</f>
        <v>80.343509999999995</v>
      </c>
      <c r="R28" s="14"/>
      <c r="S28" s="156"/>
      <c r="T28" s="34">
        <f>+'Impo 2018'!P28</f>
        <v>176.649034</v>
      </c>
    </row>
    <row r="29" spans="2:20" s="3" customFormat="1" ht="18" customHeight="1" thickTop="1" thickBot="1">
      <c r="B29" s="260"/>
      <c r="C29" s="29" t="s">
        <v>59</v>
      </c>
      <c r="D29" s="171">
        <v>3.1278640000000002</v>
      </c>
      <c r="E29" s="171">
        <v>4.3811049999999998</v>
      </c>
      <c r="F29" s="171">
        <v>7.6558599999999997</v>
      </c>
      <c r="G29" s="171">
        <v>6.3854610000000003</v>
      </c>
      <c r="H29" s="171">
        <v>5.9939609999999997</v>
      </c>
      <c r="I29" s="171">
        <v>4.1362170000000003</v>
      </c>
      <c r="J29" s="171">
        <v>3.8351259999999998</v>
      </c>
      <c r="K29" s="171">
        <v>5.9820039999999999</v>
      </c>
      <c r="L29" s="171">
        <v>3.5525030000000002</v>
      </c>
      <c r="M29" s="170">
        <v>4</v>
      </c>
      <c r="N29" s="170">
        <v>5</v>
      </c>
      <c r="O29" s="147"/>
      <c r="P29" s="34">
        <f>+SUM(D29:O29)</f>
        <v>54.050100999999998</v>
      </c>
      <c r="R29" s="14"/>
      <c r="S29" s="156"/>
      <c r="T29" s="34">
        <f>+'Impo 2018'!P29</f>
        <v>279.50255100000004</v>
      </c>
    </row>
    <row r="30" spans="2:20" s="3" customFormat="1" ht="18" customHeight="1" thickTop="1" thickBot="1">
      <c r="B30" s="260"/>
      <c r="C30" s="29" t="s">
        <v>60</v>
      </c>
      <c r="D30" s="52">
        <v>3.1719999999999999E-3</v>
      </c>
      <c r="E30" s="52">
        <v>2.1097999999999999E-2</v>
      </c>
      <c r="F30" s="52">
        <v>1.0851E-2</v>
      </c>
      <c r="G30" s="52">
        <v>2.3194880000000002</v>
      </c>
      <c r="H30" s="52">
        <v>2.9955270000000001</v>
      </c>
      <c r="I30" s="52">
        <v>3.3711259999999998</v>
      </c>
      <c r="J30" s="52">
        <v>5.5389999999999997E-3</v>
      </c>
      <c r="K30" s="52">
        <v>1.5500999999999999E-2</v>
      </c>
      <c r="L30" s="52">
        <v>4.2928000000000001E-2</v>
      </c>
      <c r="M30" s="170">
        <v>0.02</v>
      </c>
      <c r="N30" s="170">
        <v>1</v>
      </c>
      <c r="O30" s="147"/>
      <c r="P30" s="34">
        <f>+SUM(D30:O30)</f>
        <v>9.8052300000000017</v>
      </c>
      <c r="R30" s="14"/>
      <c r="S30" s="156"/>
      <c r="T30" s="34">
        <f>+'Impo 2018'!P30</f>
        <v>1.4089230000000004</v>
      </c>
    </row>
    <row r="31" spans="2:20" s="3" customFormat="1" ht="18" customHeight="1" thickTop="1" thickBot="1">
      <c r="B31" s="260"/>
      <c r="C31" s="29" t="s">
        <v>139</v>
      </c>
      <c r="D31" s="52">
        <f t="shared" ref="D31:P31" si="5">+D28+D29+D30</f>
        <v>5.7160099999999998</v>
      </c>
      <c r="E31" s="52">
        <f t="shared" si="5"/>
        <v>12.010686999999999</v>
      </c>
      <c r="F31" s="52">
        <f t="shared" si="5"/>
        <v>20.181094999999999</v>
      </c>
      <c r="G31" s="52">
        <f t="shared" si="5"/>
        <v>13.156048</v>
      </c>
      <c r="H31" s="52">
        <f t="shared" si="5"/>
        <v>17.529277999999998</v>
      </c>
      <c r="I31" s="52">
        <f t="shared" si="5"/>
        <v>10.260389</v>
      </c>
      <c r="J31" s="52">
        <f t="shared" si="5"/>
        <v>17.926477999999999</v>
      </c>
      <c r="K31" s="52">
        <f t="shared" si="5"/>
        <v>8.8662240000000008</v>
      </c>
      <c r="L31" s="52">
        <f t="shared" si="5"/>
        <v>12.532632</v>
      </c>
      <c r="M31" s="53">
        <f t="shared" si="5"/>
        <v>13.02</v>
      </c>
      <c r="N31" s="53">
        <f t="shared" si="5"/>
        <v>13</v>
      </c>
      <c r="O31" s="162">
        <f t="shared" si="5"/>
        <v>0</v>
      </c>
      <c r="P31" s="34">
        <f t="shared" si="5"/>
        <v>144.19884099999999</v>
      </c>
      <c r="R31" s="46">
        <f>P31-T31</f>
        <v>-313.36166700000012</v>
      </c>
      <c r="S31" s="165"/>
      <c r="T31" s="34">
        <f>+'Impo 2018'!P31</f>
        <v>457.56050800000008</v>
      </c>
    </row>
    <row r="32" spans="2:20" s="3" customFormat="1" ht="18" customHeight="1" thickTop="1" thickBot="1">
      <c r="B32" s="260"/>
      <c r="C32" s="32" t="s">
        <v>179</v>
      </c>
      <c r="D32" s="35">
        <f>+(D31-'Expo 2017'!D31)/'Expo 2017'!D31</f>
        <v>-0.48186170277968982</v>
      </c>
      <c r="E32" s="35">
        <f>+(E31-'Expo 2017'!E31)/'Expo 2017'!E31</f>
        <v>5.3387534567464777E-2</v>
      </c>
      <c r="F32" s="35">
        <f>+(F31-'Expo 2017'!F31)/'Expo 2017'!F31</f>
        <v>0.59242765887544979</v>
      </c>
      <c r="G32" s="35">
        <f>+(G31-'Expo 2017'!G31)/'Expo 2017'!G31</f>
        <v>-0.25870341615108078</v>
      </c>
      <c r="H32" s="35">
        <f>+(H31-'Expo 2017'!H31)/'Expo 2017'!H31</f>
        <v>-0.22286116532268141</v>
      </c>
      <c r="I32" s="35">
        <f>+(I31-'Expo 2017'!I31)/'Expo 2017'!I31</f>
        <v>-0.44992982617144683</v>
      </c>
      <c r="J32" s="35">
        <f>+(J31-'Expo 2017'!J31)/'Expo 2017'!J31</f>
        <v>1.3358635140706066</v>
      </c>
      <c r="K32" s="35">
        <f>+(K31-'Expo 2017'!K31)/'Expo 2017'!K31</f>
        <v>-0.56695662605017494</v>
      </c>
      <c r="L32" s="35">
        <f>+(L31-'Expo 2017'!L31)/'Expo 2017'!L31</f>
        <v>-0.20572520752296139</v>
      </c>
      <c r="M32" s="172">
        <f>+(M31-'Expo 2017'!M31)/'Expo 2017'!M31</f>
        <v>0.22365590773318683</v>
      </c>
      <c r="N32" s="172">
        <f>+(N31-'Expo 2017'!N31)/'Expo 2017'!N31</f>
        <v>-0.19070699903175628</v>
      </c>
      <c r="O32" s="148">
        <f>+(O31-'Expo 2017'!O31)/'Expo 2017'!O31</f>
        <v>-1</v>
      </c>
      <c r="P32" s="139">
        <f ca="1">(P31-SUM('Expo 2017'!$D31:OFFSET('Expo 2017'!$D31,0,Índice!$Y$5)))/SUM('Expo 2017'!$D31:OFFSET('Expo 2017'!$D31,0,Índice!$Y$5))</f>
        <v>-0.12444586392893783</v>
      </c>
      <c r="R32" s="14"/>
      <c r="S32" s="165"/>
      <c r="T32" s="35">
        <f ca="1">+'Impo 2018'!P32</f>
        <v>-0.20289675304072619</v>
      </c>
    </row>
    <row r="33" spans="2:20" s="3" customFormat="1" ht="18" customHeight="1" thickTop="1" thickBot="1">
      <c r="B33" s="260" t="s">
        <v>4</v>
      </c>
      <c r="C33" s="29" t="s">
        <v>65</v>
      </c>
      <c r="D33" s="52">
        <v>0.4466018799999999</v>
      </c>
      <c r="E33" s="52">
        <v>1.2967061299999998</v>
      </c>
      <c r="F33" s="52">
        <v>0.65692589999999973</v>
      </c>
      <c r="G33" s="52">
        <v>1.18326855</v>
      </c>
      <c r="H33" s="34">
        <v>0.68300821000000023</v>
      </c>
      <c r="I33" s="34">
        <v>0.60530746999999996</v>
      </c>
      <c r="J33" s="34">
        <v>1.1223130900000005</v>
      </c>
      <c r="K33" s="34">
        <v>1.3867074599999996</v>
      </c>
      <c r="L33" s="34">
        <v>1.06233814</v>
      </c>
      <c r="M33" s="34">
        <v>1.8161894700000005</v>
      </c>
      <c r="N33" s="34">
        <v>1.4212298600000002</v>
      </c>
      <c r="O33" s="147"/>
      <c r="P33" s="34">
        <f>+SUM(D33:O33)</f>
        <v>11.68059616</v>
      </c>
      <c r="R33" s="14"/>
      <c r="S33" s="165"/>
      <c r="T33" s="34">
        <f>+'Impo 2018'!P33</f>
        <v>141.65624673000002</v>
      </c>
    </row>
    <row r="34" spans="2:20" s="3" customFormat="1" ht="18" customHeight="1" thickTop="1" thickBot="1">
      <c r="B34" s="260"/>
      <c r="C34" s="29" t="s">
        <v>59</v>
      </c>
      <c r="D34" s="52">
        <v>6.4964999999999995E-2</v>
      </c>
      <c r="E34" s="52">
        <v>0</v>
      </c>
      <c r="F34" s="52">
        <v>6.6430000000000003E-2</v>
      </c>
      <c r="G34" s="52">
        <v>6.6930000000000003E-2</v>
      </c>
      <c r="H34" s="52">
        <v>3.0300000000000001E-2</v>
      </c>
      <c r="I34" s="52">
        <v>0.123834</v>
      </c>
      <c r="J34" s="52">
        <v>3.0700000000000002E-2</v>
      </c>
      <c r="K34" s="52">
        <v>0.130885</v>
      </c>
      <c r="L34" s="52">
        <v>3.2000000000000001E-2</v>
      </c>
      <c r="M34" s="52">
        <v>2.1763999999999999E-2</v>
      </c>
      <c r="N34" s="52">
        <v>9.0000000000000006E-5</v>
      </c>
      <c r="O34" s="147"/>
      <c r="P34" s="34">
        <f>+SUM(D34:O34)</f>
        <v>0.56789800000000001</v>
      </c>
      <c r="R34" s="14"/>
      <c r="S34" s="165"/>
      <c r="T34" s="34">
        <f>+'Impo 2018'!P34</f>
        <v>774.30099633000009</v>
      </c>
    </row>
    <row r="35" spans="2:20" s="3" customFormat="1" ht="18" customHeight="1" thickTop="1" thickBot="1">
      <c r="B35" s="260"/>
      <c r="C35" s="29" t="s">
        <v>60</v>
      </c>
      <c r="D35" s="52">
        <v>0</v>
      </c>
      <c r="E35" s="52">
        <v>4.2493000000000003E-2</v>
      </c>
      <c r="F35" s="52">
        <v>9.5831189999999997E-2</v>
      </c>
      <c r="G35" s="52">
        <v>9.0874179999999999E-2</v>
      </c>
      <c r="H35" s="52">
        <v>2.5287200000000008E-3</v>
      </c>
      <c r="I35" s="52">
        <v>0.14496988999999999</v>
      </c>
      <c r="J35" s="52">
        <v>0.38346059999999998</v>
      </c>
      <c r="K35" s="52">
        <v>3.157824E-2</v>
      </c>
      <c r="L35" s="34">
        <v>3.4520790000000003E-2</v>
      </c>
      <c r="M35" s="34">
        <v>1.0825E-2</v>
      </c>
      <c r="N35" s="34">
        <v>8.0090400000000003E-3</v>
      </c>
      <c r="O35" s="147"/>
      <c r="P35" s="34">
        <f>+SUM(D35:O35)</f>
        <v>0.84509064999999994</v>
      </c>
      <c r="Q35" s="52"/>
      <c r="S35" s="14"/>
      <c r="T35" s="34">
        <f>+'Impo 2018'!P35</f>
        <v>95.424857280000026</v>
      </c>
    </row>
    <row r="36" spans="2:20" s="3" customFormat="1" ht="18" customHeight="1" thickTop="1" thickBot="1">
      <c r="B36" s="260"/>
      <c r="C36" s="29" t="s">
        <v>139</v>
      </c>
      <c r="D36" s="52">
        <f t="shared" ref="D36:P36" si="6">+D33+D34+D35</f>
        <v>0.51156687999999995</v>
      </c>
      <c r="E36" s="52">
        <f t="shared" si="6"/>
        <v>1.3391991299999999</v>
      </c>
      <c r="F36" s="52">
        <f t="shared" si="6"/>
        <v>0.81918708999999967</v>
      </c>
      <c r="G36" s="52">
        <f t="shared" si="6"/>
        <v>1.3410727299999998</v>
      </c>
      <c r="H36" s="52">
        <f t="shared" si="6"/>
        <v>0.71583693000000026</v>
      </c>
      <c r="I36" s="52">
        <f t="shared" si="6"/>
        <v>0.87411135999999989</v>
      </c>
      <c r="J36" s="52">
        <f t="shared" si="6"/>
        <v>1.5364736900000004</v>
      </c>
      <c r="K36" s="52">
        <f t="shared" si="6"/>
        <v>1.5491706999999995</v>
      </c>
      <c r="L36" s="52">
        <f t="shared" si="6"/>
        <v>1.12885893</v>
      </c>
      <c r="M36" s="52">
        <f t="shared" si="6"/>
        <v>1.8487784700000005</v>
      </c>
      <c r="N36" s="52">
        <f t="shared" si="6"/>
        <v>1.4293289</v>
      </c>
      <c r="O36" s="162">
        <f t="shared" si="6"/>
        <v>0</v>
      </c>
      <c r="P36" s="34">
        <f t="shared" si="6"/>
        <v>13.093584809999999</v>
      </c>
      <c r="R36" s="46">
        <f>P36-T36</f>
        <v>-998.28851553000004</v>
      </c>
      <c r="S36" s="14"/>
      <c r="T36" s="34">
        <f>+'Impo 2018'!P36</f>
        <v>1011.3821003400001</v>
      </c>
    </row>
    <row r="37" spans="2:20" s="3" customFormat="1" ht="18" customHeight="1" thickTop="1" thickBot="1">
      <c r="B37" s="260"/>
      <c r="C37" s="32" t="s">
        <v>179</v>
      </c>
      <c r="D37" s="35">
        <f>+(D36-'Expo 2017'!D36)/'Expo 2017'!D36</f>
        <v>-0.2463901911244917</v>
      </c>
      <c r="E37" s="35">
        <f>+(E36-'Expo 2017'!E36)/'Expo 2017'!E36</f>
        <v>0.74285960030862352</v>
      </c>
      <c r="F37" s="35">
        <f>+(F36-'Expo 2017'!F36)/'Expo 2017'!F36</f>
        <v>-0.10166560751752915</v>
      </c>
      <c r="G37" s="35">
        <f>+(G36-'Expo 2017'!G36)/'Expo 2017'!G36</f>
        <v>0.40175905681135216</v>
      </c>
      <c r="H37" s="35">
        <f>+(H36-'Expo 2017'!H36)/'Expo 2017'!H36</f>
        <v>-0.18180151382456594</v>
      </c>
      <c r="I37" s="35">
        <f>+(I36-'Expo 2017'!I36)/'Expo 2017'!I36</f>
        <v>0.65518584895653087</v>
      </c>
      <c r="J37" s="35">
        <f>+(J36-'Expo 2017'!J36)/'Expo 2017'!J36</f>
        <v>1.416869572882677</v>
      </c>
      <c r="K37" s="35">
        <f>+(K36-'Expo 2017'!K36)/'Expo 2017'!K36</f>
        <v>0.90636745664359419</v>
      </c>
      <c r="L37" s="35">
        <f>+(L36-'Expo 2017'!L36)/'Expo 2017'!L36</f>
        <v>0.73068310917854107</v>
      </c>
      <c r="M37" s="35">
        <f>+(M36-'Expo 2017'!M36)/'Expo 2017'!M36</f>
        <v>0.9732356729686672</v>
      </c>
      <c r="N37" s="35">
        <f>+(N36-'Expo 2017'!N36)/'Expo 2017'!N36</f>
        <v>2.4010343522984421</v>
      </c>
      <c r="O37" s="148">
        <f>+(O36-'Expo 2017'!O36)/'Expo 2017'!O36</f>
        <v>-1</v>
      </c>
      <c r="P37" s="139">
        <f ca="1">(P36-SUM('Expo 2017'!$D36:OFFSET('Expo 2017'!$D36,0,Índice!$Y$5)))/SUM('Expo 2017'!$D36:OFFSET('Expo 2017'!$D36,0,Índice!$Y$5))</f>
        <v>0.60134327217461769</v>
      </c>
      <c r="R37" s="14"/>
      <c r="S37" s="165"/>
      <c r="T37" s="35">
        <f ca="1">+'Impo 2018'!P37</f>
        <v>4.5639100961435725E-2</v>
      </c>
    </row>
    <row r="38" spans="2:20" s="3" customFormat="1" ht="18" customHeight="1" thickTop="1" thickBot="1">
      <c r="B38" s="260" t="s">
        <v>10</v>
      </c>
      <c r="C38" s="29" t="s">
        <v>65</v>
      </c>
      <c r="D38" s="171">
        <v>5.5617523600000007</v>
      </c>
      <c r="E38" s="171">
        <v>5.356221370000001</v>
      </c>
      <c r="F38" s="171">
        <v>5.6088064200000005</v>
      </c>
      <c r="G38" s="171">
        <v>6.92710398</v>
      </c>
      <c r="H38" s="171">
        <v>5.993057359999999</v>
      </c>
      <c r="I38" s="171">
        <v>4.948334019999999</v>
      </c>
      <c r="J38" s="171">
        <v>4.4850743299999998</v>
      </c>
      <c r="K38" s="171">
        <v>6.8807132500000003</v>
      </c>
      <c r="L38" s="171">
        <v>4.6071930700000001</v>
      </c>
      <c r="M38" s="34">
        <v>4.1581479999999997</v>
      </c>
      <c r="N38" s="34">
        <v>4.1048191099999993</v>
      </c>
      <c r="O38" s="147"/>
      <c r="P38" s="34">
        <f>+SUM(D38:O38)</f>
        <v>58.631223269999992</v>
      </c>
      <c r="R38" s="14"/>
      <c r="S38" s="165"/>
      <c r="T38" s="34">
        <f>+'Impo 2018'!P38</f>
        <v>141.58926101</v>
      </c>
    </row>
    <row r="39" spans="2:20" s="3" customFormat="1" ht="18" customHeight="1" thickTop="1" thickBot="1">
      <c r="B39" s="260"/>
      <c r="C39" s="29" t="s">
        <v>59</v>
      </c>
      <c r="D39" s="171">
        <v>6.4130233999999993</v>
      </c>
      <c r="E39" s="171">
        <v>6.9852683099999995</v>
      </c>
      <c r="F39" s="171">
        <v>7.4970095900000002</v>
      </c>
      <c r="G39" s="171">
        <v>8.9389757999999997</v>
      </c>
      <c r="H39" s="171">
        <v>10.029725329999996</v>
      </c>
      <c r="I39" s="171">
        <v>6.582948019999999</v>
      </c>
      <c r="J39" s="171">
        <v>7.7639144099999999</v>
      </c>
      <c r="K39" s="171">
        <v>6.0747903100000009</v>
      </c>
      <c r="L39" s="171">
        <v>5.3606753500000002</v>
      </c>
      <c r="M39" s="34">
        <v>5.933656</v>
      </c>
      <c r="N39" s="34">
        <v>5.2992866299999992</v>
      </c>
      <c r="O39" s="147"/>
      <c r="P39" s="34">
        <f>+SUM(D39:O39)</f>
        <v>76.879273149999989</v>
      </c>
      <c r="R39" s="14"/>
      <c r="S39" s="165"/>
      <c r="T39" s="34">
        <f>+'Impo 2018'!P39</f>
        <v>240.8177225</v>
      </c>
    </row>
    <row r="40" spans="2:20" s="3" customFormat="1" ht="18" customHeight="1" thickTop="1" thickBot="1">
      <c r="B40" s="260"/>
      <c r="C40" s="29" t="s">
        <v>60</v>
      </c>
      <c r="D40" s="52">
        <v>1.681473E-2</v>
      </c>
      <c r="E40" s="52">
        <v>2.5074299999999997E-3</v>
      </c>
      <c r="F40" s="52">
        <v>1.3726500000000001E-2</v>
      </c>
      <c r="G40" s="52">
        <v>2.787193E-2</v>
      </c>
      <c r="H40" s="171">
        <v>4.2766399999999991E-3</v>
      </c>
      <c r="I40" s="171">
        <v>1.38005E-2</v>
      </c>
      <c r="J40" s="171">
        <v>1.3737590000000001E-2</v>
      </c>
      <c r="K40" s="52">
        <v>1.3257490000000002E-2</v>
      </c>
      <c r="L40" s="52">
        <v>8.5142999999999992E-4</v>
      </c>
      <c r="M40" s="52">
        <v>3.6150000000000002E-3</v>
      </c>
      <c r="N40" s="52">
        <v>2.818903E-2</v>
      </c>
      <c r="O40" s="147"/>
      <c r="P40" s="34">
        <f>+SUM(D40:O40)</f>
        <v>0.13864826999999999</v>
      </c>
      <c r="R40" s="14"/>
      <c r="S40" s="165"/>
      <c r="T40" s="34">
        <f>+'Impo 2018'!P40</f>
        <v>1.23017596</v>
      </c>
    </row>
    <row r="41" spans="2:20" s="3" customFormat="1" ht="18" customHeight="1" thickTop="1" thickBot="1">
      <c r="B41" s="260"/>
      <c r="C41" s="29" t="s">
        <v>139</v>
      </c>
      <c r="D41" s="52">
        <f t="shared" ref="D41:P41" si="7">+D38+D39+D40</f>
        <v>11.99159049</v>
      </c>
      <c r="E41" s="52">
        <f t="shared" si="7"/>
        <v>12.34399711</v>
      </c>
      <c r="F41" s="52">
        <f t="shared" si="7"/>
        <v>13.119542510000002</v>
      </c>
      <c r="G41" s="52">
        <f t="shared" si="7"/>
        <v>15.89395171</v>
      </c>
      <c r="H41" s="52">
        <f t="shared" si="7"/>
        <v>16.027059329999997</v>
      </c>
      <c r="I41" s="52">
        <f t="shared" si="7"/>
        <v>11.545082539999997</v>
      </c>
      <c r="J41" s="52">
        <f t="shared" si="7"/>
        <v>12.26272633</v>
      </c>
      <c r="K41" s="52">
        <f t="shared" si="7"/>
        <v>12.968761050000001</v>
      </c>
      <c r="L41" s="52">
        <f t="shared" si="7"/>
        <v>9.9687198500000012</v>
      </c>
      <c r="M41" s="52">
        <f t="shared" si="7"/>
        <v>10.095419</v>
      </c>
      <c r="N41" s="52">
        <f t="shared" si="7"/>
        <v>9.4322947699999986</v>
      </c>
      <c r="O41" s="162">
        <f t="shared" si="7"/>
        <v>0</v>
      </c>
      <c r="P41" s="34">
        <f t="shared" si="7"/>
        <v>135.64914468999999</v>
      </c>
      <c r="R41" s="46">
        <f>P41-T41</f>
        <v>-247.98801478000004</v>
      </c>
      <c r="S41" s="165"/>
      <c r="T41" s="34">
        <f>+'Impo 2018'!P41</f>
        <v>383.63715947000003</v>
      </c>
    </row>
    <row r="42" spans="2:20" s="3" customFormat="1" ht="18" customHeight="1" thickTop="1" thickBot="1">
      <c r="B42" s="260"/>
      <c r="C42" s="32" t="s">
        <v>179</v>
      </c>
      <c r="D42" s="35">
        <f>+(D41-'Expo 2017'!D41)/'Expo 2017'!D41</f>
        <v>-3.430753255265831E-2</v>
      </c>
      <c r="E42" s="35">
        <f>+(E41-'Expo 2017'!E41)/'Expo 2017'!E41</f>
        <v>7.6464019904208202E-2</v>
      </c>
      <c r="F42" s="35">
        <f>+(F41-'Expo 2017'!F41)/'Expo 2017'!F41</f>
        <v>-0.18486874217095264</v>
      </c>
      <c r="G42" s="35">
        <f>+(G41-'Expo 2017'!G41)/'Expo 2017'!G41</f>
        <v>0.36049949410690363</v>
      </c>
      <c r="H42" s="35">
        <f>+(H41-'Expo 2017'!H41)/'Expo 2017'!H41</f>
        <v>6.1149479380056944E-2</v>
      </c>
      <c r="I42" s="35">
        <f>+(I41-'Expo 2017'!I41)/'Expo 2017'!I41</f>
        <v>-0.11253499861748645</v>
      </c>
      <c r="J42" s="35">
        <f>+(J41-'Expo 2017'!J41)/'Expo 2017'!J41</f>
        <v>8.6498626478439353E-2</v>
      </c>
      <c r="K42" s="35">
        <f>+(K41-'Expo 2017'!K41)/'Expo 2017'!K41</f>
        <v>6.2636871455701515E-2</v>
      </c>
      <c r="L42" s="35">
        <f>+(L41-'Expo 2017'!L41)/'Expo 2017'!L41</f>
        <v>-0.10704542906627128</v>
      </c>
      <c r="M42" s="35">
        <f>+(M41-'Expo 2017'!M41)/'Expo 2017'!M41</f>
        <v>8.9928665558702298E-2</v>
      </c>
      <c r="N42" s="35">
        <f>+(N41-'Expo 2017'!N41)/'Expo 2017'!N41</f>
        <v>-0.18601653295980705</v>
      </c>
      <c r="O42" s="148">
        <f>+(O41-'Expo 2017'!O41)/'Expo 2017'!O41</f>
        <v>-1</v>
      </c>
      <c r="P42" s="139">
        <f ca="1">(P41-SUM('Expo 2017'!$D41:OFFSET('Expo 2017'!$D41,0,Índice!$Y$5)))/SUM('Expo 2017'!$D41:OFFSET('Expo 2017'!$D41,0,Índice!$Y$5))</f>
        <v>2.7318571616914856E-3</v>
      </c>
      <c r="R42" s="14"/>
      <c r="S42" s="165"/>
      <c r="T42" s="35">
        <f ca="1">+'Impo 2018'!P42</f>
        <v>0.1365393067107494</v>
      </c>
    </row>
    <row r="43" spans="2:20" s="3" customFormat="1" ht="18" customHeight="1" thickTop="1" thickBot="1">
      <c r="B43" s="260" t="s">
        <v>11</v>
      </c>
      <c r="C43" s="29" t="s">
        <v>65</v>
      </c>
      <c r="D43" s="171">
        <v>9.5333330000000007</v>
      </c>
      <c r="E43" s="171">
        <v>15.723013999999999</v>
      </c>
      <c r="F43" s="34">
        <v>20.620327</v>
      </c>
      <c r="G43" s="34">
        <v>16.161096000000001</v>
      </c>
      <c r="H43" s="34">
        <v>17.301535999999999</v>
      </c>
      <c r="I43" s="34">
        <v>15.014336999999999</v>
      </c>
      <c r="J43" s="34">
        <v>13.292367</v>
      </c>
      <c r="K43" s="34">
        <v>11.994495000000001</v>
      </c>
      <c r="L43" s="34">
        <v>10.237339</v>
      </c>
      <c r="M43" s="34">
        <v>9.043647</v>
      </c>
      <c r="N43" s="170">
        <v>10</v>
      </c>
      <c r="O43" s="34"/>
      <c r="P43" s="34">
        <f>+SUM(D43:O43)</f>
        <v>148.92149099999997</v>
      </c>
      <c r="R43" s="14"/>
      <c r="S43" s="165"/>
      <c r="T43" s="34">
        <f>+'Impo 2018'!P43</f>
        <v>178.04302799999999</v>
      </c>
    </row>
    <row r="44" spans="2:20" s="3" customFormat="1" ht="18" customHeight="1" thickTop="1" thickBot="1">
      <c r="B44" s="260"/>
      <c r="C44" s="29" t="s">
        <v>59</v>
      </c>
      <c r="D44" s="171">
        <v>4.577744</v>
      </c>
      <c r="E44" s="171">
        <v>5.1820130000000004</v>
      </c>
      <c r="F44" s="34">
        <v>7.7141529999999996</v>
      </c>
      <c r="G44" s="34">
        <v>5.5877650000000001</v>
      </c>
      <c r="H44" s="34">
        <v>6.1085209999999996</v>
      </c>
      <c r="I44" s="34">
        <v>6.5938280000000002</v>
      </c>
      <c r="J44" s="34">
        <v>5.8629629999999997</v>
      </c>
      <c r="K44" s="34">
        <v>6.9732450000000004</v>
      </c>
      <c r="L44" s="34">
        <v>3.104114</v>
      </c>
      <c r="M44" s="34">
        <v>4.4731269999999999</v>
      </c>
      <c r="N44" s="170">
        <v>5</v>
      </c>
      <c r="O44" s="34"/>
      <c r="P44" s="34">
        <f>+SUM(D44:O44)</f>
        <v>61.177472999999999</v>
      </c>
      <c r="R44" s="14"/>
      <c r="S44" s="165"/>
      <c r="T44" s="34">
        <f>+'Impo 2018'!P44</f>
        <v>413.629682</v>
      </c>
    </row>
    <row r="45" spans="2:20" s="3" customFormat="1" ht="18" customHeight="1" thickTop="1" thickBot="1">
      <c r="B45" s="260"/>
      <c r="C45" s="29" t="s">
        <v>60</v>
      </c>
      <c r="D45" s="52">
        <v>5.5676000000000003E-2</v>
      </c>
      <c r="E45" s="52">
        <v>0.20797199999999999</v>
      </c>
      <c r="F45" s="52">
        <v>0.126718</v>
      </c>
      <c r="G45" s="52">
        <v>0.102119</v>
      </c>
      <c r="H45" s="34">
        <v>0.16841900000000001</v>
      </c>
      <c r="I45" s="34">
        <v>0.13431699999999999</v>
      </c>
      <c r="J45" s="34">
        <v>8.4084000000000006E-2</v>
      </c>
      <c r="K45" s="171">
        <v>4.7865999999999999E-2</v>
      </c>
      <c r="L45" s="171">
        <v>0.106513</v>
      </c>
      <c r="M45" s="171">
        <v>6.2154000000000001E-2</v>
      </c>
      <c r="N45" s="170">
        <v>7.1999999999999995E-2</v>
      </c>
      <c r="O45" s="34"/>
      <c r="P45" s="34">
        <f>+SUM(D45:O45)</f>
        <v>1.1678380000000002</v>
      </c>
      <c r="R45" s="14"/>
      <c r="S45" s="165"/>
      <c r="T45" s="34">
        <f>+'Impo 2018'!P45</f>
        <v>4.611129</v>
      </c>
    </row>
    <row r="46" spans="2:20" s="3" customFormat="1" ht="18" customHeight="1" thickTop="1" thickBot="1">
      <c r="B46" s="260"/>
      <c r="C46" s="29" t="s">
        <v>139</v>
      </c>
      <c r="D46" s="52">
        <f t="shared" ref="D46:P46" si="8">+D43+D44+D45</f>
        <v>14.166753000000002</v>
      </c>
      <c r="E46" s="52">
        <f t="shared" si="8"/>
        <v>21.112999000000002</v>
      </c>
      <c r="F46" s="52">
        <f t="shared" si="8"/>
        <v>28.461198</v>
      </c>
      <c r="G46" s="52">
        <f t="shared" si="8"/>
        <v>21.85098</v>
      </c>
      <c r="H46" s="52">
        <f t="shared" si="8"/>
        <v>23.578475999999998</v>
      </c>
      <c r="I46" s="52">
        <f t="shared" si="8"/>
        <v>21.742481999999999</v>
      </c>
      <c r="J46" s="52">
        <f t="shared" si="8"/>
        <v>19.239414</v>
      </c>
      <c r="K46" s="52">
        <f t="shared" si="8"/>
        <v>19.015605999999998</v>
      </c>
      <c r="L46" s="52">
        <f t="shared" si="8"/>
        <v>13.447966000000001</v>
      </c>
      <c r="M46" s="52">
        <f t="shared" si="8"/>
        <v>13.578927999999999</v>
      </c>
      <c r="N46" s="53">
        <f t="shared" si="8"/>
        <v>15.071999999999999</v>
      </c>
      <c r="O46" s="52">
        <f t="shared" si="8"/>
        <v>0</v>
      </c>
      <c r="P46" s="34">
        <f t="shared" si="8"/>
        <v>211.26680199999996</v>
      </c>
      <c r="R46" s="46">
        <f>P46-T46</f>
        <v>-385.01703700000007</v>
      </c>
      <c r="S46" s="165"/>
      <c r="T46" s="34">
        <f>+'Impo 2018'!P46</f>
        <v>596.28383900000006</v>
      </c>
    </row>
    <row r="47" spans="2:20" s="3" customFormat="1" ht="18" customHeight="1" thickTop="1" thickBot="1">
      <c r="B47" s="260"/>
      <c r="C47" s="32" t="s">
        <v>179</v>
      </c>
      <c r="D47" s="35">
        <f>+(D46-'Expo 2017'!D46)/'Expo 2017'!D46</f>
        <v>-0.14648221878246614</v>
      </c>
      <c r="E47" s="35">
        <f>+(E46-'Expo 2017'!E46)/'Expo 2017'!E46</f>
        <v>0.10153045593857105</v>
      </c>
      <c r="F47" s="35">
        <f>+(F46-'Expo 2017'!F46)/'Expo 2017'!F46</f>
        <v>0.40903974319920633</v>
      </c>
      <c r="G47" s="35">
        <f>+(G46-'Expo 2017'!G46)/'Expo 2017'!G46</f>
        <v>-0.13424901510879689</v>
      </c>
      <c r="H47" s="35">
        <f>+(H46-'Expo 2017'!H46)/'Expo 2017'!H46</f>
        <v>0.30109592687611048</v>
      </c>
      <c r="I47" s="35">
        <f>+(I46-'Expo 2017'!I46)/'Expo 2017'!I46</f>
        <v>-0.19620633475330532</v>
      </c>
      <c r="J47" s="35">
        <f>+(J46-'Expo 2017'!J46)/'Expo 2017'!J46</f>
        <v>-0.16853299384475273</v>
      </c>
      <c r="K47" s="35">
        <f>+(K46-'Expo 2017'!K46)/'Expo 2017'!K46</f>
        <v>6.8801904767047542E-3</v>
      </c>
      <c r="L47" s="35">
        <f>+(L46-'Expo 2017'!L46)/'Expo 2017'!L46</f>
        <v>-0.51511559211267599</v>
      </c>
      <c r="M47" s="35">
        <f>+(M46-'Expo 2017'!M46)/'Expo 2017'!M46</f>
        <v>-0.32031821829628571</v>
      </c>
      <c r="N47" s="172">
        <f>+(N46-'Expo 2017'!N46)/'Expo 2017'!N46</f>
        <v>-0.11400090198846621</v>
      </c>
      <c r="O47" s="35">
        <f>+(O46-'Expo 2017'!O46)/'Expo 2017'!O46</f>
        <v>-1</v>
      </c>
      <c r="P47" s="139">
        <f ca="1">(P46-SUM('Expo 2017'!$D46:OFFSET('Expo 2017'!$D46,0,Índice!$Y$5)))/SUM('Expo 2017'!$D46:OFFSET('Expo 2017'!$D46,0,Índice!$Y$5))</f>
        <v>-9.3758025903916686E-2</v>
      </c>
      <c r="R47" s="14"/>
      <c r="S47" s="165"/>
      <c r="T47" s="35">
        <f ca="1">+'Impo 2018'!P47</f>
        <v>-9.8092660823168101E-2</v>
      </c>
    </row>
    <row r="48" spans="2:20" ht="18" customHeight="1" thickTop="1" thickBot="1">
      <c r="B48" s="260" t="s">
        <v>86</v>
      </c>
      <c r="C48" s="29" t="s">
        <v>65</v>
      </c>
      <c r="D48" s="171">
        <v>4.2598623400000006</v>
      </c>
      <c r="E48" s="171">
        <v>2.9802111299999998</v>
      </c>
      <c r="F48" s="171">
        <v>2.1326456399999998</v>
      </c>
      <c r="G48" s="171">
        <v>7.679180109999999</v>
      </c>
      <c r="H48" s="171">
        <v>6.7934443899999986</v>
      </c>
      <c r="I48" s="171">
        <v>1.2785772099999999</v>
      </c>
      <c r="J48" s="171">
        <v>7.44045793</v>
      </c>
      <c r="K48" s="171">
        <v>6.3190794199999987</v>
      </c>
      <c r="L48" s="171">
        <v>2.7402792300000005</v>
      </c>
      <c r="M48" s="171">
        <v>4.7257624699999994</v>
      </c>
      <c r="N48" s="170">
        <v>5</v>
      </c>
      <c r="O48" s="147"/>
      <c r="P48" s="34">
        <f>+SUM(D48:O48)</f>
        <v>51.349499869999995</v>
      </c>
      <c r="R48" s="14"/>
      <c r="S48" s="156"/>
      <c r="T48" s="34">
        <f>+'Impo 2018'!P48</f>
        <v>143.12717613999999</v>
      </c>
    </row>
    <row r="49" spans="2:20" ht="18" customHeight="1" thickTop="1" thickBot="1">
      <c r="B49" s="260"/>
      <c r="C49" s="29" t="s">
        <v>59</v>
      </c>
      <c r="D49" s="171">
        <v>3.7478156300000007</v>
      </c>
      <c r="E49" s="171">
        <v>2.6437421200000002</v>
      </c>
      <c r="F49" s="171">
        <v>3.0791381500000004</v>
      </c>
      <c r="G49" s="171">
        <v>4.7099776899999997</v>
      </c>
      <c r="H49" s="171">
        <v>4.7151584800000004</v>
      </c>
      <c r="I49" s="171">
        <v>1.9083420800000004</v>
      </c>
      <c r="J49" s="171">
        <v>4.1481988199999993</v>
      </c>
      <c r="K49" s="171">
        <v>5.4844097299999994</v>
      </c>
      <c r="L49" s="171">
        <v>2.3754164599999994</v>
      </c>
      <c r="M49" s="171">
        <v>3.4210318299999991</v>
      </c>
      <c r="N49" s="170">
        <v>4</v>
      </c>
      <c r="O49" s="147"/>
      <c r="P49" s="34">
        <f>+SUM(D49:O49)</f>
        <v>40.233230989999996</v>
      </c>
      <c r="R49" s="14"/>
      <c r="S49" s="156"/>
      <c r="T49" s="34">
        <f>+'Impo 2018'!P49</f>
        <v>249.96960106</v>
      </c>
    </row>
    <row r="50" spans="2:20" ht="18" customHeight="1" thickTop="1" thickBot="1">
      <c r="B50" s="260"/>
      <c r="C50" s="29" t="s">
        <v>60</v>
      </c>
      <c r="D50" s="52">
        <v>1.2176000000000001E-3</v>
      </c>
      <c r="E50" s="52">
        <v>0</v>
      </c>
      <c r="F50" s="171">
        <v>2.0410000000000001E-2</v>
      </c>
      <c r="G50" s="171">
        <v>1.4671100000000002E-3</v>
      </c>
      <c r="H50" s="171">
        <v>0</v>
      </c>
      <c r="I50" s="171">
        <v>4.3899999999999995E-6</v>
      </c>
      <c r="J50" s="171">
        <v>3.8359999999999999E-5</v>
      </c>
      <c r="K50" s="171">
        <v>2.3140000000000002E-5</v>
      </c>
      <c r="L50" s="171">
        <v>8.9999999999999999E-8</v>
      </c>
      <c r="M50" s="171">
        <v>8.6430000000000011E-5</v>
      </c>
      <c r="N50" s="170">
        <v>3.7599999999999999E-5</v>
      </c>
      <c r="O50" s="147"/>
      <c r="P50" s="34">
        <f>+SUM(D50:O50)</f>
        <v>2.3284720000000002E-2</v>
      </c>
      <c r="R50" s="14"/>
      <c r="S50" s="156"/>
      <c r="T50" s="34">
        <f>+'Impo 2018'!P50</f>
        <v>1.8934980000000001</v>
      </c>
    </row>
    <row r="51" spans="2:20" ht="18" customHeight="1" thickTop="1" thickBot="1">
      <c r="B51" s="260"/>
      <c r="C51" s="29" t="s">
        <v>139</v>
      </c>
      <c r="D51" s="52">
        <f t="shared" ref="D51:P51" si="9">+D48+D49+D50</f>
        <v>8.0088955700000017</v>
      </c>
      <c r="E51" s="52">
        <f t="shared" si="9"/>
        <v>5.6239532499999996</v>
      </c>
      <c r="F51" s="52">
        <f t="shared" si="9"/>
        <v>5.2321937900000002</v>
      </c>
      <c r="G51" s="52">
        <f t="shared" si="9"/>
        <v>12.39062491</v>
      </c>
      <c r="H51" s="52">
        <f t="shared" si="9"/>
        <v>11.508602869999999</v>
      </c>
      <c r="I51" s="52">
        <f t="shared" si="9"/>
        <v>3.1869236800000005</v>
      </c>
      <c r="J51" s="52">
        <f t="shared" si="9"/>
        <v>11.588695109999998</v>
      </c>
      <c r="K51" s="52">
        <f t="shared" si="9"/>
        <v>11.803512289999997</v>
      </c>
      <c r="L51" s="52">
        <f t="shared" si="9"/>
        <v>5.1156957800000002</v>
      </c>
      <c r="M51" s="52">
        <f t="shared" si="9"/>
        <v>8.1468807299999977</v>
      </c>
      <c r="N51" s="53">
        <f t="shared" si="9"/>
        <v>9.0000376000000006</v>
      </c>
      <c r="O51" s="162">
        <f t="shared" si="9"/>
        <v>0</v>
      </c>
      <c r="P51" s="34">
        <f t="shared" si="9"/>
        <v>91.606015580000005</v>
      </c>
      <c r="Q51" s="4" t="s">
        <v>17</v>
      </c>
      <c r="R51" s="46">
        <f>P51-T51</f>
        <v>-303.38425962000002</v>
      </c>
      <c r="T51" s="34">
        <f>+'Impo 2018'!P51</f>
        <v>394.99027520000004</v>
      </c>
    </row>
    <row r="52" spans="2:20" ht="18" customHeight="1" thickTop="1" thickBot="1">
      <c r="B52" s="260"/>
      <c r="C52" s="32" t="s">
        <v>179</v>
      </c>
      <c r="D52" s="35">
        <f>+(D51-'Expo 2017'!D51)/'Expo 2017'!D51</f>
        <v>-0.13601719679813723</v>
      </c>
      <c r="E52" s="35">
        <f>+(E51-'Expo 2017'!E51)/'Expo 2017'!E51</f>
        <v>-0.12077790471869444</v>
      </c>
      <c r="F52" s="35">
        <f>+(F51-'Expo 2017'!F51)/'Expo 2017'!F51</f>
        <v>-0.46446920556458893</v>
      </c>
      <c r="G52" s="35">
        <f>+(G51-'Expo 2017'!G51)/'Expo 2017'!G51</f>
        <v>0.3016520880161031</v>
      </c>
      <c r="H52" s="35">
        <f>+(H51-'Expo 2017'!H51)/'Expo 2017'!H51</f>
        <v>2.4955296950037596E-2</v>
      </c>
      <c r="I52" s="35">
        <f>+(I51-'Expo 2017'!I51)/'Expo 2017'!I51</f>
        <v>-0.68145794530622683</v>
      </c>
      <c r="J52" s="35">
        <f>+(J51-'Expo 2017'!J51)/'Expo 2017'!J51</f>
        <v>3.8442806544042286E-2</v>
      </c>
      <c r="K52" s="35">
        <f>+(K51-'Expo 2017'!K51)/'Expo 2017'!K51</f>
        <v>0.34247744397701613</v>
      </c>
      <c r="L52" s="35">
        <f>+(L51-'Expo 2017'!L51)/'Expo 2017'!L51</f>
        <v>-0.51665647364683476</v>
      </c>
      <c r="M52" s="35">
        <f>+(M51-'Expo 2017'!M51)/'Expo 2017'!M51</f>
        <v>1.4915424794333099</v>
      </c>
      <c r="N52" s="172">
        <f>+(N51-'Expo 2017'!N51)/'Expo 2017'!N51</f>
        <v>3.8917049028292419E-2</v>
      </c>
      <c r="O52" s="148">
        <f>+(O51-'Expo 2017'!O51)/'Expo 2017'!O51</f>
        <v>-1</v>
      </c>
      <c r="P52" s="139">
        <f ca="1">(P51-SUM('Expo 2017'!$D51:OFFSET('Expo 2017'!$D51,0,Índice!$Y$5)))/SUM('Expo 2017'!$D51:OFFSET('Expo 2017'!$D51,0,Índice!$Y$5))</f>
        <v>-7.1472859785961712E-2</v>
      </c>
      <c r="R52" s="14"/>
      <c r="T52" s="35">
        <f ca="1">+'Impo 2018'!P52</f>
        <v>-1.4887145767526257E-2</v>
      </c>
    </row>
    <row r="53" spans="2:20" ht="18" customHeight="1" thickTop="1" thickBot="1">
      <c r="B53" s="260" t="s">
        <v>43</v>
      </c>
      <c r="C53" s="29" t="s">
        <v>65</v>
      </c>
      <c r="D53" s="171">
        <v>101.92226486010001</v>
      </c>
      <c r="E53" s="171">
        <v>125.24256244250002</v>
      </c>
      <c r="F53" s="171">
        <v>167.95332311289999</v>
      </c>
      <c r="G53" s="171">
        <v>157.37257260719997</v>
      </c>
      <c r="H53" s="171">
        <v>168.88024032620001</v>
      </c>
      <c r="I53" s="171">
        <v>106.21983220119999</v>
      </c>
      <c r="J53" s="171">
        <v>102.76982093579998</v>
      </c>
      <c r="K53" s="171">
        <v>103.86862613419001</v>
      </c>
      <c r="L53" s="171">
        <v>90.301687057500004</v>
      </c>
      <c r="M53" s="171">
        <v>71.325751848600007</v>
      </c>
      <c r="N53" s="171">
        <v>126.063</v>
      </c>
      <c r="O53" s="34"/>
      <c r="P53" s="34">
        <f>+SUM(D53:O53)</f>
        <v>1321.9196815261901</v>
      </c>
      <c r="R53" s="14"/>
      <c r="T53" s="34">
        <f>+'Impo 2018'!P53</f>
        <v>1481.32591834357</v>
      </c>
    </row>
    <row r="54" spans="2:20" ht="18" customHeight="1" thickTop="1" thickBot="1">
      <c r="B54" s="260"/>
      <c r="C54" s="29" t="s">
        <v>59</v>
      </c>
      <c r="D54" s="171">
        <v>77.053563731700009</v>
      </c>
      <c r="E54" s="171">
        <v>86.731168950199987</v>
      </c>
      <c r="F54" s="171">
        <v>116.8893536204</v>
      </c>
      <c r="G54" s="171">
        <v>106.24096896939999</v>
      </c>
      <c r="H54" s="171">
        <v>118.5636589134</v>
      </c>
      <c r="I54" s="171">
        <v>70.261642616699987</v>
      </c>
      <c r="J54" s="171">
        <v>92.441448320000006</v>
      </c>
      <c r="K54" s="171">
        <v>89.381578194500008</v>
      </c>
      <c r="L54" s="171">
        <v>77.043446815700008</v>
      </c>
      <c r="M54" s="171">
        <v>92.582303804700018</v>
      </c>
      <c r="N54" s="171">
        <v>76.503</v>
      </c>
      <c r="O54" s="34"/>
      <c r="P54" s="34">
        <f>+SUM(D54:O54)</f>
        <v>1003.6921339367</v>
      </c>
      <c r="R54" s="14"/>
      <c r="T54" s="34">
        <f>+'Impo 2018'!P54</f>
        <v>7440.1694085752697</v>
      </c>
    </row>
    <row r="55" spans="2:20" ht="18" customHeight="1" thickTop="1" thickBot="1">
      <c r="B55" s="260"/>
      <c r="C55" s="29" t="s">
        <v>60</v>
      </c>
      <c r="D55" s="171">
        <v>64.414339835900009</v>
      </c>
      <c r="E55" s="171">
        <v>82.798827202500036</v>
      </c>
      <c r="F55" s="171">
        <v>68.20916306689999</v>
      </c>
      <c r="G55" s="171">
        <v>71.540590342900018</v>
      </c>
      <c r="H55" s="171">
        <v>95.773998617700016</v>
      </c>
      <c r="I55" s="171">
        <v>60.872357186999992</v>
      </c>
      <c r="J55" s="171">
        <v>78.824698500600007</v>
      </c>
      <c r="K55" s="171">
        <v>75.9261982389</v>
      </c>
      <c r="L55" s="171">
        <v>73.399431709899972</v>
      </c>
      <c r="M55" s="171">
        <v>46.625221415299997</v>
      </c>
      <c r="N55" s="171">
        <v>60.595999999999997</v>
      </c>
      <c r="O55" s="34"/>
      <c r="P55" s="34">
        <f>+SUM(D55:O55)</f>
        <v>778.98082611760015</v>
      </c>
      <c r="R55" s="14"/>
      <c r="T55" s="34">
        <f>+'Impo 2018'!P55</f>
        <v>122.11020216521999</v>
      </c>
    </row>
    <row r="56" spans="2:20" ht="18" customHeight="1" thickTop="1" thickBot="1">
      <c r="B56" s="260"/>
      <c r="C56" s="29" t="s">
        <v>139</v>
      </c>
      <c r="D56" s="52">
        <f t="shared" ref="D56:I56" si="10">+D53+D54+D55</f>
        <v>243.39016842770002</v>
      </c>
      <c r="E56" s="52">
        <f t="shared" si="10"/>
        <v>294.77255859520005</v>
      </c>
      <c r="F56" s="52">
        <f t="shared" si="10"/>
        <v>353.05183980019996</v>
      </c>
      <c r="G56" s="52">
        <f t="shared" si="10"/>
        <v>335.1541319195</v>
      </c>
      <c r="H56" s="52">
        <f t="shared" si="10"/>
        <v>383.21789785730004</v>
      </c>
      <c r="I56" s="52">
        <f t="shared" si="10"/>
        <v>237.35383200489997</v>
      </c>
      <c r="J56" s="52">
        <f t="shared" ref="J56:O56" si="11">+J53+J54+J55</f>
        <v>274.0359677564</v>
      </c>
      <c r="K56" s="52">
        <f t="shared" si="11"/>
        <v>269.17640256759</v>
      </c>
      <c r="L56" s="52">
        <f t="shared" si="11"/>
        <v>240.74456558309998</v>
      </c>
      <c r="M56" s="52">
        <f t="shared" si="11"/>
        <v>210.53327706860003</v>
      </c>
      <c r="N56" s="52">
        <f t="shared" si="11"/>
        <v>263.16199999999998</v>
      </c>
      <c r="O56" s="52">
        <f t="shared" si="11"/>
        <v>0</v>
      </c>
      <c r="P56" s="171">
        <f>+SUM(D56:O56)</f>
        <v>3104.5926415804893</v>
      </c>
      <c r="Q56" s="4" t="s">
        <v>17</v>
      </c>
      <c r="R56" s="46">
        <f>P56-T56</f>
        <v>-5939.0128875035698</v>
      </c>
      <c r="T56" s="34">
        <f>+'Impo 2018'!P56</f>
        <v>9043.6055290840595</v>
      </c>
    </row>
    <row r="57" spans="2:20" ht="18" customHeight="1" thickTop="1" thickBot="1">
      <c r="B57" s="260"/>
      <c r="C57" s="32" t="s">
        <v>179</v>
      </c>
      <c r="D57" s="35">
        <f>+(D56-'Expo 2017'!D56)/'Expo 2017'!D56</f>
        <v>-9.3534673953721004E-2</v>
      </c>
      <c r="E57" s="35">
        <f>+(E56-'Expo 2017'!E56)/'Expo 2017'!E56</f>
        <v>5.705900651840403E-2</v>
      </c>
      <c r="F57" s="35">
        <f>+(F56-'Expo 2017'!F56)/'Expo 2017'!F56</f>
        <v>0.29740696631601676</v>
      </c>
      <c r="G57" s="35">
        <f>+(G56-'Expo 2017'!G56)/'Expo 2017'!G56</f>
        <v>0.34166571545919872</v>
      </c>
      <c r="H57" s="35">
        <f>+(H56-'Expo 2017'!H56)/'Expo 2017'!H56</f>
        <v>0.29024824514026454</v>
      </c>
      <c r="I57" s="35">
        <f>+(I56-'Expo 2017'!I56)/'Expo 2017'!I56</f>
        <v>-0.21383042995664239</v>
      </c>
      <c r="J57" s="35">
        <f>+(J56-'Expo 2017'!J56)/'Expo 2017'!J56</f>
        <v>1.0142812188245606E-2</v>
      </c>
      <c r="K57" s="35">
        <f>+(K56-'Expo 2017'!K56)/'Expo 2017'!K56</f>
        <v>-0.10289306532753281</v>
      </c>
      <c r="L57" s="35">
        <f>+(L56-'Expo 2017'!L56)/'Expo 2017'!L56</f>
        <v>-9.6494794953911334E-2</v>
      </c>
      <c r="M57" s="35">
        <f>+(M56-'Expo 2017'!M56)/'Expo 2017'!M56</f>
        <v>-0.18929360003905973</v>
      </c>
      <c r="N57" s="35">
        <f>+(N56-'Expo 2017'!N56)/'Expo 2017'!N56</f>
        <v>-0.10775178602177017</v>
      </c>
      <c r="O57" s="35">
        <f>+(O56-'Expo 2017'!O56)/'Expo 2017'!O56</f>
        <v>-1</v>
      </c>
      <c r="P57" s="139">
        <f ca="1">(P56-SUM('Expo 2017'!$D56:OFFSET('Expo 2017'!$D56,0,Índice!$Y$5)))/SUM('Expo 2017'!$D56:OFFSET('Expo 2017'!$D56,0,Índice!$Y$5))</f>
        <v>1.4361342373411929E-2</v>
      </c>
      <c r="R57" s="14"/>
      <c r="T57" s="35">
        <f ca="1">+'Impo 2018'!P57</f>
        <v>-0.12496960892150555</v>
      </c>
    </row>
    <row r="58" spans="2:20" s="3" customFormat="1" ht="18" customHeight="1" thickTop="1" thickBot="1">
      <c r="B58" s="260" t="s">
        <v>71</v>
      </c>
      <c r="C58" s="29" t="s">
        <v>65</v>
      </c>
      <c r="D58" s="52">
        <v>7.0680099999999996E-2</v>
      </c>
      <c r="E58" s="52">
        <v>0.11246478</v>
      </c>
      <c r="F58" s="52">
        <v>0.27411092999999997</v>
      </c>
      <c r="G58" s="52">
        <v>0.10400912</v>
      </c>
      <c r="H58" s="52">
        <v>0.24060530999999999</v>
      </c>
      <c r="I58" s="52">
        <v>7.564599000000001E-2</v>
      </c>
      <c r="J58" s="52">
        <v>0.66901586000000002</v>
      </c>
      <c r="K58" s="52">
        <v>9.7554900000000014E-2</v>
      </c>
      <c r="L58" s="52">
        <v>1.1401209999999998E-2</v>
      </c>
      <c r="M58" s="52">
        <v>0.18824608999999998</v>
      </c>
      <c r="N58" s="52">
        <v>2.6878970000000002E-2</v>
      </c>
      <c r="O58" s="162"/>
      <c r="P58" s="34">
        <f>+SUM(D58:O58)</f>
        <v>1.8706132600000001</v>
      </c>
      <c r="R58" s="14"/>
      <c r="S58" s="165"/>
      <c r="T58" s="34">
        <f>+'Impo 2018'!P58</f>
        <v>240.73499277999997</v>
      </c>
    </row>
    <row r="59" spans="2:20" s="3" customFormat="1" ht="18" customHeight="1" thickTop="1" thickBot="1">
      <c r="B59" s="260"/>
      <c r="C59" s="29" t="s">
        <v>59</v>
      </c>
      <c r="D59" s="52">
        <v>0.10581019999999999</v>
      </c>
      <c r="E59" s="52">
        <v>0.31508779999999997</v>
      </c>
      <c r="F59" s="52">
        <v>0.74582800000000005</v>
      </c>
      <c r="G59" s="52">
        <v>0.424929</v>
      </c>
      <c r="H59" s="52">
        <v>0.21615479999999998</v>
      </c>
      <c r="I59" s="52">
        <v>0.1618</v>
      </c>
      <c r="J59" s="52">
        <v>0.22342035000000005</v>
      </c>
      <c r="K59" s="52">
        <v>8.7095720000000001E-2</v>
      </c>
      <c r="L59" s="52">
        <v>0.14429638</v>
      </c>
      <c r="M59" s="52">
        <v>0.27745383999999995</v>
      </c>
      <c r="N59" s="52">
        <v>5.0802430000000003E-2</v>
      </c>
      <c r="O59" s="162"/>
      <c r="P59" s="34">
        <f>+SUM(D59:O59)</f>
        <v>2.7526785200000008</v>
      </c>
      <c r="R59" s="14"/>
      <c r="S59" s="165"/>
      <c r="T59" s="34">
        <f>+'Impo 2018'!P59</f>
        <v>130.54815260999999</v>
      </c>
    </row>
    <row r="60" spans="2:20" s="3" customFormat="1" ht="18" customHeight="1" thickTop="1" thickBot="1">
      <c r="B60" s="260"/>
      <c r="C60" s="29" t="s">
        <v>60</v>
      </c>
      <c r="D60" s="52">
        <v>6.4838999999999999E-4</v>
      </c>
      <c r="E60" s="52">
        <v>0</v>
      </c>
      <c r="F60" s="52">
        <v>6.8968559999999998E-2</v>
      </c>
      <c r="G60" s="52">
        <v>5.2999999999999998E-4</v>
      </c>
      <c r="H60" s="52">
        <v>1.3004409999999999E-2</v>
      </c>
      <c r="I60" s="52">
        <v>1.96927E-3</v>
      </c>
      <c r="J60" s="52">
        <v>3.4473400000000001E-3</v>
      </c>
      <c r="K60" s="52">
        <v>2.0230000000000001E-2</v>
      </c>
      <c r="L60" s="52">
        <v>9.2835499999999998E-3</v>
      </c>
      <c r="M60" s="52">
        <v>0.22231856</v>
      </c>
      <c r="N60" s="52">
        <v>0.1</v>
      </c>
      <c r="O60" s="162"/>
      <c r="P60" s="34">
        <f>+SUM(D60:O60)</f>
        <v>0.44040007999999997</v>
      </c>
      <c r="R60" s="14"/>
      <c r="S60" s="165"/>
      <c r="T60" s="34">
        <f>+'Impo 2018'!P60</f>
        <v>2.4084182100000002</v>
      </c>
    </row>
    <row r="61" spans="2:20" s="3" customFormat="1" ht="18" customHeight="1" thickTop="1" thickBot="1">
      <c r="B61" s="260"/>
      <c r="C61" s="29" t="s">
        <v>139</v>
      </c>
      <c r="D61" s="52">
        <f t="shared" ref="D61:P61" si="12">+D58+D59+D60</f>
        <v>0.17713868999999999</v>
      </c>
      <c r="E61" s="52">
        <f t="shared" si="12"/>
        <v>0.42755257999999996</v>
      </c>
      <c r="F61" s="52">
        <f t="shared" si="12"/>
        <v>1.08890749</v>
      </c>
      <c r="G61" s="52">
        <f t="shared" si="12"/>
        <v>0.52946811999999999</v>
      </c>
      <c r="H61" s="52">
        <f t="shared" si="12"/>
        <v>0.46976451999999996</v>
      </c>
      <c r="I61" s="52">
        <f t="shared" si="12"/>
        <v>0.23941525999999999</v>
      </c>
      <c r="J61" s="52">
        <f t="shared" si="12"/>
        <v>0.89588355000000008</v>
      </c>
      <c r="K61" s="52">
        <f t="shared" si="12"/>
        <v>0.20488062000000001</v>
      </c>
      <c r="L61" s="52">
        <f t="shared" si="12"/>
        <v>0.16498114</v>
      </c>
      <c r="M61" s="52">
        <f t="shared" si="12"/>
        <v>0.68801848999999993</v>
      </c>
      <c r="N61" s="52">
        <f t="shared" si="12"/>
        <v>0.17768140000000002</v>
      </c>
      <c r="O61" s="162">
        <f t="shared" si="12"/>
        <v>0</v>
      </c>
      <c r="P61" s="34">
        <f t="shared" si="12"/>
        <v>5.0636918600000005</v>
      </c>
      <c r="R61" s="46">
        <f>P61-T61</f>
        <v>-368.62787173999993</v>
      </c>
      <c r="S61" s="165"/>
      <c r="T61" s="34">
        <f>+'Impo 2018'!P61</f>
        <v>373.69156359999994</v>
      </c>
    </row>
    <row r="62" spans="2:20" s="3" customFormat="1" ht="18" customHeight="1" thickTop="1" thickBot="1">
      <c r="B62" s="260"/>
      <c r="C62" s="32" t="s">
        <v>179</v>
      </c>
      <c r="D62" s="35">
        <f>+(D61-'Expo 2017'!D61)/'Expo 2017'!D61</f>
        <v>0.16422878309785474</v>
      </c>
      <c r="E62" s="35">
        <f>+(E61-'Expo 2017'!E61)/'Expo 2017'!E61</f>
        <v>1.1681544631485694</v>
      </c>
      <c r="F62" s="35">
        <f>+(F61-'Expo 2017'!F61)/'Expo 2017'!F61</f>
        <v>1.9991259931076488</v>
      </c>
      <c r="G62" s="35">
        <f>+(G61-'Expo 2017'!G61)/'Expo 2017'!G61</f>
        <v>1.6178322638304894</v>
      </c>
      <c r="H62" s="35">
        <f>+(H61-'Expo 2017'!H61)/'Expo 2017'!H61</f>
        <v>1.9802588300959849</v>
      </c>
      <c r="I62" s="35">
        <f>+(I61-'Expo 2017'!I61)/'Expo 2017'!I61</f>
        <v>100.35566628424345</v>
      </c>
      <c r="J62" s="35">
        <f>+(J61-'Expo 2017'!J61)/'Expo 2017'!J61</f>
        <v>2.2502662045561159</v>
      </c>
      <c r="K62" s="35">
        <f>+(K61-'Expo 2017'!K61)/'Expo 2017'!K61</f>
        <v>0.79498633657521522</v>
      </c>
      <c r="L62" s="35">
        <f>+(L61-'Expo 2017'!L61)/'Expo 2017'!L61</f>
        <v>-0.84176384843774632</v>
      </c>
      <c r="M62" s="35">
        <f>+(M61-'Expo 2017'!M61)/'Expo 2017'!M61</f>
        <v>1.2356562379680325</v>
      </c>
      <c r="N62" s="35">
        <f>+(N61-'Expo 2017'!N61)/'Expo 2017'!N61</f>
        <v>-0.52429671271485323</v>
      </c>
      <c r="O62" s="148">
        <f>+(O61-'Expo 2017'!O61)/'Expo 2017'!O61</f>
        <v>-1</v>
      </c>
      <c r="P62" s="139">
        <f ca="1">(P61-SUM('Expo 2017'!$D61:OFFSET('Expo 2017'!$D61,0,Índice!$Y$5)))/SUM('Expo 2017'!$D61:OFFSET('Expo 2017'!$D61,0,Índice!$Y$5))</f>
        <v>0.5881976547824711</v>
      </c>
      <c r="R62" s="14"/>
      <c r="S62" s="165"/>
      <c r="T62" s="35">
        <f ca="1">+'Impo 2018'!P62</f>
        <v>-0.10028229229081739</v>
      </c>
    </row>
    <row r="63" spans="2:20" s="3" customFormat="1" ht="18" customHeight="1" thickTop="1" thickBot="1">
      <c r="B63" s="261" t="s">
        <v>6</v>
      </c>
      <c r="C63" s="29" t="s">
        <v>65</v>
      </c>
      <c r="D63" s="34">
        <v>3.1600999999999997E-2</v>
      </c>
      <c r="E63" s="34">
        <v>0.63923799999999997</v>
      </c>
      <c r="F63" s="34">
        <v>7.4999999999999993E-5</v>
      </c>
      <c r="G63" s="34">
        <v>0</v>
      </c>
      <c r="H63" s="171">
        <v>0</v>
      </c>
      <c r="I63" s="171">
        <v>0</v>
      </c>
      <c r="J63" s="34">
        <v>0</v>
      </c>
      <c r="K63" s="171">
        <v>1.4100000000000001E-4</v>
      </c>
      <c r="L63" s="34">
        <v>0</v>
      </c>
      <c r="M63" s="34">
        <v>6.1139999999999996E-3</v>
      </c>
      <c r="N63" s="170">
        <v>0</v>
      </c>
      <c r="O63" s="147"/>
      <c r="P63" s="34">
        <f>+SUM(D63:O63)</f>
        <v>0.67716899999999991</v>
      </c>
      <c r="R63" s="14"/>
      <c r="S63" s="165"/>
      <c r="T63" s="34">
        <f>+'Impo 2018'!P63</f>
        <v>134.46823914000001</v>
      </c>
    </row>
    <row r="64" spans="2:20" s="3" customFormat="1" ht="18" customHeight="1" thickTop="1" thickBot="1">
      <c r="B64" s="261"/>
      <c r="C64" s="29" t="s">
        <v>59</v>
      </c>
      <c r="D64" s="34">
        <v>0</v>
      </c>
      <c r="E64" s="34">
        <v>1.3500000000000001E-3</v>
      </c>
      <c r="F64" s="34">
        <v>0</v>
      </c>
      <c r="G64" s="34">
        <v>0</v>
      </c>
      <c r="H64" s="171">
        <v>0</v>
      </c>
      <c r="I64" s="171">
        <v>0</v>
      </c>
      <c r="J64" s="34">
        <v>0</v>
      </c>
      <c r="K64" s="171">
        <v>0</v>
      </c>
      <c r="L64" s="34">
        <v>0</v>
      </c>
      <c r="M64" s="34">
        <v>2.8600000000000001E-3</v>
      </c>
      <c r="N64" s="170">
        <v>0</v>
      </c>
      <c r="O64" s="147"/>
      <c r="P64" s="34">
        <f>+SUM(D64:O64)</f>
        <v>4.2100000000000002E-3</v>
      </c>
      <c r="R64" s="14"/>
      <c r="S64" s="165"/>
      <c r="T64" s="34">
        <f>+'Impo 2018'!P64</f>
        <v>252.23094355000001</v>
      </c>
    </row>
    <row r="65" spans="2:21" s="3" customFormat="1" ht="18" customHeight="1" thickTop="1" thickBot="1">
      <c r="B65" s="261"/>
      <c r="C65" s="29" t="s">
        <v>60</v>
      </c>
      <c r="D65" s="30">
        <v>0</v>
      </c>
      <c r="E65" s="171">
        <v>4.1650000000000003E-3</v>
      </c>
      <c r="F65" s="34">
        <v>0</v>
      </c>
      <c r="G65" s="34">
        <v>0</v>
      </c>
      <c r="H65" s="171">
        <v>4.1650000000000003E-3</v>
      </c>
      <c r="I65" s="171">
        <v>0</v>
      </c>
      <c r="J65" s="34">
        <v>8.6600000000000002E-4</v>
      </c>
      <c r="K65" s="171">
        <v>0</v>
      </c>
      <c r="L65" s="30">
        <v>0</v>
      </c>
      <c r="M65" s="34">
        <v>0</v>
      </c>
      <c r="N65" s="170">
        <v>0</v>
      </c>
      <c r="O65" s="147"/>
      <c r="P65" s="34">
        <f>+SUM(D65:O65)</f>
        <v>9.196000000000001E-3</v>
      </c>
      <c r="R65" s="14"/>
      <c r="S65" s="165"/>
      <c r="T65" s="34">
        <f>+'Impo 2018'!P65</f>
        <v>2.6858611699999999</v>
      </c>
    </row>
    <row r="66" spans="2:21" s="3" customFormat="1" ht="18" customHeight="1" thickTop="1" thickBot="1">
      <c r="B66" s="261"/>
      <c r="C66" s="29" t="s">
        <v>139</v>
      </c>
      <c r="D66" s="52">
        <f t="shared" ref="D66:P66" si="13">+D63+D64+D65</f>
        <v>3.1600999999999997E-2</v>
      </c>
      <c r="E66" s="52">
        <f t="shared" si="13"/>
        <v>0.64475299999999991</v>
      </c>
      <c r="F66" s="52">
        <f t="shared" si="13"/>
        <v>7.4999999999999993E-5</v>
      </c>
      <c r="G66" s="52">
        <f t="shared" si="13"/>
        <v>0</v>
      </c>
      <c r="H66" s="52">
        <f t="shared" si="13"/>
        <v>4.1650000000000003E-3</v>
      </c>
      <c r="I66" s="52">
        <f t="shared" si="13"/>
        <v>0</v>
      </c>
      <c r="J66" s="52">
        <f t="shared" si="13"/>
        <v>8.6600000000000002E-4</v>
      </c>
      <c r="K66" s="52">
        <f t="shared" si="13"/>
        <v>1.4100000000000001E-4</v>
      </c>
      <c r="L66" s="52">
        <f t="shared" si="13"/>
        <v>0</v>
      </c>
      <c r="M66" s="52">
        <f t="shared" si="13"/>
        <v>8.9739999999999993E-3</v>
      </c>
      <c r="N66" s="53">
        <f t="shared" si="13"/>
        <v>0</v>
      </c>
      <c r="O66" s="162">
        <f t="shared" si="13"/>
        <v>0</v>
      </c>
      <c r="P66" s="34">
        <f t="shared" si="13"/>
        <v>0.69057499999999994</v>
      </c>
      <c r="R66" s="46">
        <f>P66-T66</f>
        <v>-388.69446886000003</v>
      </c>
      <c r="S66" s="165"/>
      <c r="T66" s="34">
        <f>+'Impo 2018'!P66</f>
        <v>389.38504386000005</v>
      </c>
    </row>
    <row r="67" spans="2:21" s="3" customFormat="1" ht="18" customHeight="1" thickTop="1" thickBot="1">
      <c r="B67" s="261"/>
      <c r="C67" s="32" t="s">
        <v>179</v>
      </c>
      <c r="D67" s="35">
        <f>IFERROR((D66-'Expo 2017'!D66)/'Expo 2017'!D66,0)</f>
        <v>0</v>
      </c>
      <c r="E67" s="35">
        <f>IFERROR((E66-'Expo 2017'!E66)/'Expo 2017'!E66,0)</f>
        <v>0</v>
      </c>
      <c r="F67" s="35">
        <f>IFERROR((F66-'Expo 2017'!F66)/'Expo 2017'!F66,0)</f>
        <v>0</v>
      </c>
      <c r="G67" s="35">
        <f>IFERROR((G66-'Expo 2017'!G66)/'Expo 2017'!G66,0)</f>
        <v>-1</v>
      </c>
      <c r="H67" s="35">
        <f>IFERROR((H66-'Expo 2017'!H66)/'Expo 2017'!H66,0)</f>
        <v>0</v>
      </c>
      <c r="I67" s="35">
        <f>IFERROR((I66-'Expo 2017'!I66)/'Expo 2017'!I66,0)</f>
        <v>0</v>
      </c>
      <c r="J67" s="35">
        <f>IFERROR((J66-'Expo 2017'!J66)/'Expo 2017'!J66,0)</f>
        <v>23.742857142857147</v>
      </c>
      <c r="K67" s="35">
        <f>IFERROR((K66-'Expo 2017'!K66)/'Expo 2017'!K66,0)</f>
        <v>0</v>
      </c>
      <c r="L67" s="35">
        <f>IFERROR((L66-'Expo 2017'!L66)/'Expo 2017'!L66,0)</f>
        <v>0</v>
      </c>
      <c r="M67" s="35">
        <f>IFERROR((M66-'Expo 2017'!M66)/'Expo 2017'!M66,0)</f>
        <v>-0.66797395293769424</v>
      </c>
      <c r="N67" s="172">
        <f>IFERROR((N66-'Expo 2017'!N66)/'Expo 2017'!N66,0)</f>
        <v>-1</v>
      </c>
      <c r="O67" s="148">
        <f>IFERROR((O66-'Expo 2017'!O66)/'Expo 2017'!O66,0)</f>
        <v>-1</v>
      </c>
      <c r="P67" s="139">
        <f ca="1">IFERROR((P66-SUM('Expo 2017'!$D66:OFFSET('Expo 2017'!$D66,0,Índice!$Y$5)))/SUM('Expo 2017'!$D66:OFFSET('Expo 2017'!$D66,0,Índice!$Y$5)),0)</f>
        <v>16.906084295956333</v>
      </c>
      <c r="R67" s="14"/>
      <c r="S67" s="165"/>
      <c r="T67" s="35">
        <f ca="1">+'Impo 2018'!P67</f>
        <v>0.40257484084315287</v>
      </c>
    </row>
    <row r="68" spans="2:21" s="3" customFormat="1" ht="18" customHeight="1" thickTop="1" thickBot="1">
      <c r="B68" s="261" t="s">
        <v>44</v>
      </c>
      <c r="C68" s="29" t="s">
        <v>65</v>
      </c>
      <c r="D68" s="34">
        <v>10.944924910000001</v>
      </c>
      <c r="E68" s="34">
        <v>34.729914249999986</v>
      </c>
      <c r="F68" s="34">
        <v>13.693110770000001</v>
      </c>
      <c r="G68" s="34">
        <v>29.329053790000007</v>
      </c>
      <c r="H68" s="34">
        <v>13.913567630000006</v>
      </c>
      <c r="I68" s="34">
        <v>12.47025391</v>
      </c>
      <c r="J68" s="34">
        <v>16.168009920000003</v>
      </c>
      <c r="K68" s="34">
        <v>16.84432898</v>
      </c>
      <c r="L68" s="34">
        <v>17.421781169999999</v>
      </c>
      <c r="M68" s="34">
        <v>18.993158650000002</v>
      </c>
      <c r="N68" s="34">
        <v>16.270405279999999</v>
      </c>
      <c r="O68" s="34"/>
      <c r="P68" s="34">
        <f>+SUM(D68:O68)</f>
        <v>200.77850926000002</v>
      </c>
      <c r="R68" s="14"/>
      <c r="S68" s="165"/>
      <c r="T68" s="34">
        <f>+'Impo 2018'!P68</f>
        <v>805.58857768999962</v>
      </c>
    </row>
    <row r="69" spans="2:21" s="3" customFormat="1" ht="18" customHeight="1" thickTop="1" thickBot="1">
      <c r="B69" s="261"/>
      <c r="C69" s="29" t="s">
        <v>59</v>
      </c>
      <c r="D69" s="52">
        <v>0.11538002999999999</v>
      </c>
      <c r="E69" s="52">
        <v>0.47918762999999986</v>
      </c>
      <c r="F69" s="52">
        <v>0.73033903</v>
      </c>
      <c r="G69" s="52">
        <v>2.2917043100000001</v>
      </c>
      <c r="H69" s="52">
        <v>0.37401033999999994</v>
      </c>
      <c r="I69" s="52">
        <v>0.47622091</v>
      </c>
      <c r="J69" s="52">
        <v>0.28324882000000001</v>
      </c>
      <c r="K69" s="52">
        <v>0.48786517000000018</v>
      </c>
      <c r="L69" s="52">
        <v>0.10131249999999999</v>
      </c>
      <c r="M69" s="52">
        <v>0.88699934999999996</v>
      </c>
      <c r="N69" s="52">
        <v>0.63088924999999985</v>
      </c>
      <c r="O69" s="52"/>
      <c r="P69" s="34">
        <f>+SUM(D69:O69)</f>
        <v>6.8571573399999997</v>
      </c>
      <c r="R69" s="14"/>
      <c r="S69" s="165"/>
      <c r="T69" s="34">
        <f>+'Impo 2018'!P69</f>
        <v>750.71841055000004</v>
      </c>
    </row>
    <row r="70" spans="2:21" s="3" customFormat="1" ht="18" customHeight="1" thickTop="1" thickBot="1">
      <c r="B70" s="261"/>
      <c r="C70" s="29" t="s">
        <v>60</v>
      </c>
      <c r="D70" s="52">
        <v>0.14813408000000006</v>
      </c>
      <c r="E70" s="52">
        <v>0.26853540000000004</v>
      </c>
      <c r="F70" s="52">
        <v>9.324358999999996E-2</v>
      </c>
      <c r="G70" s="52">
        <v>3.9175800000000004E-2</v>
      </c>
      <c r="H70" s="52">
        <v>0.55097474999999996</v>
      </c>
      <c r="I70" s="52">
        <v>0.10345673</v>
      </c>
      <c r="J70" s="52">
        <v>0.10936703999999998</v>
      </c>
      <c r="K70" s="52">
        <v>4.724467999999999E-2</v>
      </c>
      <c r="L70" s="52">
        <v>1.1158440000000002E-2</v>
      </c>
      <c r="M70" s="52">
        <v>4.7774739999999996E-2</v>
      </c>
      <c r="N70" s="52">
        <v>0.19328836000000002</v>
      </c>
      <c r="O70" s="52"/>
      <c r="P70" s="34">
        <f>+SUM(D70:O70)</f>
        <v>1.6123536099999998</v>
      </c>
      <c r="R70" s="14"/>
      <c r="S70" s="165"/>
      <c r="T70" s="34">
        <f>+'Impo 2018'!P70</f>
        <v>59.914592629999973</v>
      </c>
    </row>
    <row r="71" spans="2:21" s="3" customFormat="1" ht="18" customHeight="1" thickTop="1" thickBot="1">
      <c r="B71" s="261"/>
      <c r="C71" s="29" t="s">
        <v>139</v>
      </c>
      <c r="D71" s="52">
        <f t="shared" ref="D71:P71" si="14">+D68+D69+D70</f>
        <v>11.208439020000002</v>
      </c>
      <c r="E71" s="52">
        <f t="shared" si="14"/>
        <v>35.477637279999982</v>
      </c>
      <c r="F71" s="52">
        <f t="shared" si="14"/>
        <v>14.51669339</v>
      </c>
      <c r="G71" s="52">
        <f t="shared" si="14"/>
        <v>31.659933900000006</v>
      </c>
      <c r="H71" s="52">
        <f t="shared" si="14"/>
        <v>14.838552720000006</v>
      </c>
      <c r="I71" s="52">
        <f t="shared" si="14"/>
        <v>13.04993155</v>
      </c>
      <c r="J71" s="52">
        <f t="shared" si="14"/>
        <v>16.560625780000002</v>
      </c>
      <c r="K71" s="52">
        <f t="shared" si="14"/>
        <v>17.379438829999998</v>
      </c>
      <c r="L71" s="52">
        <f t="shared" si="14"/>
        <v>17.534252109999997</v>
      </c>
      <c r="M71" s="52">
        <f t="shared" si="14"/>
        <v>19.927932740000003</v>
      </c>
      <c r="N71" s="52">
        <f t="shared" si="14"/>
        <v>17.094582889999998</v>
      </c>
      <c r="O71" s="52">
        <f t="shared" si="14"/>
        <v>0</v>
      </c>
      <c r="P71" s="34">
        <f t="shared" si="14"/>
        <v>209.24802021000002</v>
      </c>
      <c r="R71" s="46">
        <f>P71-T71</f>
        <v>-1406.9735606599995</v>
      </c>
      <c r="S71" s="165"/>
      <c r="T71" s="34">
        <f>+'Impo 2018'!P71</f>
        <v>1616.2215808699996</v>
      </c>
    </row>
    <row r="72" spans="2:21" s="3" customFormat="1" ht="18" customHeight="1" thickTop="1" thickBot="1">
      <c r="B72" s="261"/>
      <c r="C72" s="32" t="s">
        <v>179</v>
      </c>
      <c r="D72" s="35">
        <f>+(D71-'Expo 2017'!D71)/'Expo 2017'!D71</f>
        <v>-0.46335157426026985</v>
      </c>
      <c r="E72" s="35">
        <f>+(E71-'Expo 2017'!E71)/'Expo 2017'!E71</f>
        <v>0.69863244661495683</v>
      </c>
      <c r="F72" s="35">
        <f>+(F71-'Expo 2017'!F71)/'Expo 2017'!F71</f>
        <v>-0.30495578904529336</v>
      </c>
      <c r="G72" s="35">
        <f>+(G71-'Expo 2017'!G71)/'Expo 2017'!G71</f>
        <v>0.39641268653424944</v>
      </c>
      <c r="H72" s="35">
        <f>+(H71-'Expo 2017'!H71)/'Expo 2017'!H71</f>
        <v>-0.34552158783833409</v>
      </c>
      <c r="I72" s="35">
        <f>+(I71-'Expo 2017'!I71)/'Expo 2017'!I71</f>
        <v>-0.42441162282958655</v>
      </c>
      <c r="J72" s="35">
        <f>+(J71-'Expo 2017'!J71)/'Expo 2017'!J71</f>
        <v>-1.3151967662481731E-2</v>
      </c>
      <c r="K72" s="35">
        <f>+(K71-'Expo 2017'!K71)/'Expo 2017'!K71</f>
        <v>3.5641118901954705E-2</v>
      </c>
      <c r="L72" s="35">
        <f>+(L71-'Expo 2017'!L71)/'Expo 2017'!L71</f>
        <v>4.4866445455267856E-2</v>
      </c>
      <c r="M72" s="35">
        <f>+(M71-'Expo 2017'!M71)/'Expo 2017'!M71</f>
        <v>9.5282381327520177E-2</v>
      </c>
      <c r="N72" s="35">
        <f>+(N71-'Expo 2017'!N71)/'Expo 2017'!N71</f>
        <v>-6.0444668303317593E-2</v>
      </c>
      <c r="O72" s="35">
        <f>+(O71-'Expo 2017'!O71)/'Expo 2017'!O71</f>
        <v>-1</v>
      </c>
      <c r="P72" s="139">
        <f ca="1">(P71-SUM('Expo 2017'!$D71:OFFSET('Expo 2017'!$D71,0,Índice!$Y$5)))/SUM('Expo 2017'!$D71:OFFSET('Expo 2017'!$D71,0,Índice!$Y$5))</f>
        <v>-3.7531548826091235E-2</v>
      </c>
      <c r="R72" s="14"/>
      <c r="S72" s="165"/>
      <c r="T72" s="35">
        <f ca="1">+'Impo 2018'!P72</f>
        <v>-0.26493361392656739</v>
      </c>
    </row>
    <row r="73" spans="2:21" s="3" customFormat="1" ht="18" customHeight="1" thickTop="1" thickBot="1">
      <c r="B73" s="261" t="s">
        <v>7</v>
      </c>
      <c r="C73" s="29" t="s">
        <v>65</v>
      </c>
      <c r="D73" s="171">
        <v>0.74930431000000008</v>
      </c>
      <c r="E73" s="171">
        <v>0</v>
      </c>
      <c r="F73" s="171">
        <v>5.3187999999999999E-2</v>
      </c>
      <c r="G73" s="34">
        <v>1.1163599999999998E-3</v>
      </c>
      <c r="H73" s="34">
        <v>2.8426E-2</v>
      </c>
      <c r="I73" s="34">
        <v>2.8617500000000001E-2</v>
      </c>
      <c r="J73" s="34">
        <v>0.18592900000000001</v>
      </c>
      <c r="K73" s="34">
        <v>5.3900999999999998E-2</v>
      </c>
      <c r="L73" s="34">
        <v>1.0000000000000001E-5</v>
      </c>
      <c r="M73" s="34">
        <v>0.47025099999999997</v>
      </c>
      <c r="N73" s="34">
        <v>0.54116500000000001</v>
      </c>
      <c r="O73" s="147"/>
      <c r="P73" s="34">
        <f>+SUM(D73:O73)</f>
        <v>2.11190817</v>
      </c>
      <c r="R73" s="14"/>
      <c r="S73" s="165"/>
      <c r="T73" s="34">
        <f>+'Impo 2018'!P73</f>
        <v>48.611798969999995</v>
      </c>
    </row>
    <row r="74" spans="2:21" s="3" customFormat="1" ht="18" customHeight="1" thickTop="1" thickBot="1">
      <c r="B74" s="261"/>
      <c r="C74" s="29" t="s">
        <v>59</v>
      </c>
      <c r="D74" s="171">
        <v>1.49E-3</v>
      </c>
      <c r="E74" s="171">
        <v>3.1289999999999998E-2</v>
      </c>
      <c r="F74" s="171">
        <v>0</v>
      </c>
      <c r="G74" s="171">
        <v>9.3021690000000004E-2</v>
      </c>
      <c r="H74" s="171">
        <v>2.1696E-2</v>
      </c>
      <c r="I74" s="171">
        <v>2.5545999999999999E-2</v>
      </c>
      <c r="J74" s="171">
        <v>7.6383999999999994E-2</v>
      </c>
      <c r="K74" s="34">
        <v>2.1937999999999999E-2</v>
      </c>
      <c r="L74" s="34">
        <v>6.2000000000000003E-5</v>
      </c>
      <c r="M74" s="34">
        <v>6.2000000000000003E-5</v>
      </c>
      <c r="N74" s="34">
        <v>3.0460000000000001E-3</v>
      </c>
      <c r="O74" s="147"/>
      <c r="P74" s="34">
        <f t="shared" ref="P74:P80" si="15">+SUM(D74:O74)</f>
        <v>0.27453569</v>
      </c>
      <c r="R74" s="14"/>
      <c r="S74" s="165"/>
      <c r="T74" s="34">
        <f>+'Impo 2018'!P74</f>
        <v>82.799620239999982</v>
      </c>
    </row>
    <row r="75" spans="2:21" s="3" customFormat="1" ht="18" customHeight="1" thickTop="1" thickBot="1">
      <c r="B75" s="261"/>
      <c r="C75" s="29" t="s">
        <v>60</v>
      </c>
      <c r="D75" s="171">
        <v>0</v>
      </c>
      <c r="E75" s="171">
        <v>0</v>
      </c>
      <c r="F75" s="171">
        <v>0</v>
      </c>
      <c r="G75" s="171">
        <v>0</v>
      </c>
      <c r="H75" s="171">
        <v>4.4159999999999998E-2</v>
      </c>
      <c r="I75" s="171">
        <v>3.8990000000000004E-5</v>
      </c>
      <c r="J75" s="171">
        <v>0</v>
      </c>
      <c r="K75" s="34">
        <v>6.9999999999999999E-6</v>
      </c>
      <c r="L75" s="34">
        <v>0</v>
      </c>
      <c r="M75" s="34">
        <v>0</v>
      </c>
      <c r="N75" s="34">
        <v>0</v>
      </c>
      <c r="O75" s="147"/>
      <c r="P75" s="34">
        <f t="shared" si="15"/>
        <v>4.4205990000000001E-2</v>
      </c>
      <c r="R75" s="14"/>
      <c r="S75" s="165"/>
      <c r="T75" s="34">
        <f>+'Impo 2018'!P75</f>
        <v>1.4834605199999999</v>
      </c>
    </row>
    <row r="76" spans="2:21" s="3" customFormat="1" ht="18" customHeight="1" thickTop="1" thickBot="1">
      <c r="B76" s="261"/>
      <c r="C76" s="29" t="s">
        <v>139</v>
      </c>
      <c r="D76" s="52">
        <f>+D73+D74+D75</f>
        <v>0.75079431000000008</v>
      </c>
      <c r="E76" s="52">
        <f>+E73+E74+E75</f>
        <v>3.1289999999999998E-2</v>
      </c>
      <c r="F76" s="52">
        <v>0</v>
      </c>
      <c r="G76" s="52">
        <v>0</v>
      </c>
      <c r="H76" s="52">
        <f t="shared" ref="H76:P76" si="16">+H73+H74+H75</f>
        <v>9.4282000000000005E-2</v>
      </c>
      <c r="I76" s="52">
        <f t="shared" si="16"/>
        <v>5.4202490000000006E-2</v>
      </c>
      <c r="J76" s="52">
        <f t="shared" si="16"/>
        <v>0.26231300000000002</v>
      </c>
      <c r="K76" s="52">
        <f t="shared" si="16"/>
        <v>7.5845999999999983E-2</v>
      </c>
      <c r="L76" s="52">
        <f t="shared" si="16"/>
        <v>7.2000000000000002E-5</v>
      </c>
      <c r="M76" s="52">
        <f t="shared" si="16"/>
        <v>0.47031299999999998</v>
      </c>
      <c r="N76" s="52">
        <f t="shared" si="16"/>
        <v>0.544211</v>
      </c>
      <c r="O76" s="162">
        <f t="shared" si="16"/>
        <v>0</v>
      </c>
      <c r="P76" s="34">
        <f t="shared" si="16"/>
        <v>2.43064985</v>
      </c>
      <c r="R76" s="46">
        <f>P76-T76</f>
        <v>-130.46422987999995</v>
      </c>
      <c r="S76" s="165"/>
      <c r="T76" s="34">
        <f>+'Impo 2018'!P76</f>
        <v>132.89487972999996</v>
      </c>
    </row>
    <row r="77" spans="2:21" s="3" customFormat="1" ht="18" customHeight="1" thickTop="1" thickBot="1">
      <c r="B77" s="261"/>
      <c r="C77" s="32" t="s">
        <v>179</v>
      </c>
      <c r="D77" s="35">
        <f>IFERROR((D76-'Expo 2017'!D76)/'Expo 2017'!D76,0)</f>
        <v>1300.7673342002602</v>
      </c>
      <c r="E77" s="35">
        <f>IFERROR((E76-'Expo 2017'!E76)/'Expo 2017'!E76,0)</f>
        <v>12.28927641610003</v>
      </c>
      <c r="F77" s="35">
        <f>IFERROR((F76-'Expo 2017'!F76)/'Expo 2017'!F76,0)</f>
        <v>-1</v>
      </c>
      <c r="G77" s="35">
        <f>IFERROR((G76-'Expo 2017'!G76)/'Expo 2017'!G76,0)</f>
        <v>0</v>
      </c>
      <c r="H77" s="35">
        <f>IFERROR((H76-'Expo 2017'!H76)/'Expo 2017'!H76,0)</f>
        <v>116.25304381350348</v>
      </c>
      <c r="I77" s="35">
        <f>IFERROR((I76-'Expo 2017'!I76)/'Expo 2017'!I76,0)</f>
        <v>3.0699465524931413</v>
      </c>
      <c r="J77" s="35">
        <f>IFERROR((J76-'Expo 2017'!J76)/'Expo 2017'!J76,0)</f>
        <v>87.371458410538025</v>
      </c>
      <c r="K77" s="35">
        <f>IFERROR((K76-'Expo 2017'!K76)/'Expo 2017'!K76,0)</f>
        <v>62.023282867731361</v>
      </c>
      <c r="L77" s="35">
        <f>IFERROR((L76-'Expo 2017'!L76)/'Expo 2017'!L76,0)</f>
        <v>-0.81854381410821841</v>
      </c>
      <c r="M77" s="35">
        <f>IFERROR((M76-'Expo 2017'!M76)/'Expo 2017'!M76,0)</f>
        <v>4.0033324485810899</v>
      </c>
      <c r="N77" s="35">
        <f>IFERROR((N76-'Expo 2017'!N76)/'Expo 2017'!N76,0)</f>
        <v>78.296140766018453</v>
      </c>
      <c r="O77" s="148">
        <f>IFERROR((O76-'Expo 2017'!O76)/'Expo 2017'!O76,0)</f>
        <v>-1</v>
      </c>
      <c r="P77" s="139">
        <f ca="1">(P76-SUM('Expo 2017'!$D76:OFFSET('Expo 2017'!$D76,0,Índice!$Y$5)))/SUM('Expo 2017'!$D76:OFFSET('Expo 2017'!$D76,0,Índice!$Y$5))</f>
        <v>18.450428631250372</v>
      </c>
      <c r="R77" s="14"/>
      <c r="S77" s="165"/>
      <c r="T77" s="35">
        <f ca="1">+'Impo 2018'!P77</f>
        <v>3.4616237517973755E-2</v>
      </c>
    </row>
    <row r="78" spans="2:21" s="3" customFormat="1" ht="18" customHeight="1" thickTop="1" thickBot="1">
      <c r="B78" s="261" t="s">
        <v>3</v>
      </c>
      <c r="C78" s="29" t="s">
        <v>65</v>
      </c>
      <c r="D78" s="171">
        <v>0</v>
      </c>
      <c r="E78" s="171">
        <v>0</v>
      </c>
      <c r="F78" s="171">
        <v>0</v>
      </c>
      <c r="G78" s="171">
        <v>2.9700000000000001E-2</v>
      </c>
      <c r="H78" s="171">
        <v>0</v>
      </c>
      <c r="I78" s="171">
        <v>0</v>
      </c>
      <c r="J78" s="171">
        <v>0</v>
      </c>
      <c r="K78" s="171">
        <v>0</v>
      </c>
      <c r="L78" s="171">
        <v>0</v>
      </c>
      <c r="M78" s="34">
        <v>0</v>
      </c>
      <c r="N78" s="170">
        <v>0</v>
      </c>
      <c r="O78" s="147"/>
      <c r="P78" s="34">
        <f>+SUM(D78:O78)</f>
        <v>2.9700000000000001E-2</v>
      </c>
      <c r="Q78" s="2"/>
      <c r="R78" s="14"/>
      <c r="S78" s="154"/>
      <c r="T78" s="34">
        <f>+'Impo 2018'!P78</f>
        <v>3.9368369999999993</v>
      </c>
      <c r="U78" s="2"/>
    </row>
    <row r="79" spans="2:21" s="3" customFormat="1" ht="18" customHeight="1" thickTop="1" thickBot="1">
      <c r="B79" s="261"/>
      <c r="C79" s="29" t="s">
        <v>59</v>
      </c>
      <c r="D79" s="170">
        <v>0</v>
      </c>
      <c r="E79" s="30">
        <v>0</v>
      </c>
      <c r="F79" s="30">
        <v>0</v>
      </c>
      <c r="G79" s="171">
        <v>0.154364</v>
      </c>
      <c r="H79" s="170">
        <v>0</v>
      </c>
      <c r="I79" s="171">
        <v>6.2692999999999999E-2</v>
      </c>
      <c r="J79" s="34">
        <v>1.9567999999999999E-2</v>
      </c>
      <c r="K79" s="34">
        <v>0</v>
      </c>
      <c r="L79" s="34">
        <v>0</v>
      </c>
      <c r="M79" s="34">
        <v>0</v>
      </c>
      <c r="N79" s="170">
        <v>0</v>
      </c>
      <c r="O79" s="147"/>
      <c r="P79" s="34">
        <f t="shared" si="15"/>
        <v>0.236625</v>
      </c>
      <c r="Q79" s="2"/>
      <c r="R79" s="14"/>
      <c r="S79" s="154"/>
      <c r="T79" s="34">
        <f>+'Impo 2018'!P79</f>
        <v>6.6200849999999987</v>
      </c>
      <c r="U79" s="2"/>
    </row>
    <row r="80" spans="2:21" s="3" customFormat="1" ht="18" customHeight="1" thickTop="1" thickBot="1">
      <c r="B80" s="261"/>
      <c r="C80" s="29" t="s">
        <v>60</v>
      </c>
      <c r="D80" s="170">
        <v>0</v>
      </c>
      <c r="E80" s="30">
        <v>0</v>
      </c>
      <c r="F80" s="30">
        <v>0</v>
      </c>
      <c r="G80" s="171">
        <v>0</v>
      </c>
      <c r="H80" s="170">
        <v>0</v>
      </c>
      <c r="I80" s="171">
        <v>0</v>
      </c>
      <c r="J80" s="34">
        <v>0</v>
      </c>
      <c r="K80" s="34">
        <v>0</v>
      </c>
      <c r="L80" s="30">
        <v>0</v>
      </c>
      <c r="M80" s="34">
        <v>0</v>
      </c>
      <c r="N80" s="170">
        <v>0</v>
      </c>
      <c r="O80" s="147"/>
      <c r="P80" s="34">
        <f t="shared" si="15"/>
        <v>0</v>
      </c>
      <c r="Q80" s="2"/>
      <c r="R80" s="14"/>
      <c r="S80" s="154"/>
      <c r="T80" s="34">
        <f>+'Impo 2018'!P80</f>
        <v>25.858270000000001</v>
      </c>
      <c r="U80" s="2"/>
    </row>
    <row r="81" spans="2:21" s="3" customFormat="1" ht="18" customHeight="1" thickTop="1" thickBot="1">
      <c r="B81" s="261"/>
      <c r="C81" s="29" t="s">
        <v>139</v>
      </c>
      <c r="D81" s="53">
        <f t="shared" ref="D81:I81" si="17">+D78+D79+D80</f>
        <v>0</v>
      </c>
      <c r="E81" s="52">
        <v>0</v>
      </c>
      <c r="F81" s="52">
        <v>0</v>
      </c>
      <c r="G81" s="52">
        <f t="shared" si="17"/>
        <v>0.18406400000000001</v>
      </c>
      <c r="H81" s="53">
        <f t="shared" si="17"/>
        <v>0</v>
      </c>
      <c r="I81" s="52">
        <f t="shared" si="17"/>
        <v>6.2692999999999999E-2</v>
      </c>
      <c r="J81" s="52">
        <v>0</v>
      </c>
      <c r="K81" s="52">
        <f t="shared" ref="K81:P81" si="18">+K78+K79+K80</f>
        <v>0</v>
      </c>
      <c r="L81" s="53">
        <f t="shared" si="18"/>
        <v>0</v>
      </c>
      <c r="M81" s="52">
        <f t="shared" si="18"/>
        <v>0</v>
      </c>
      <c r="N81" s="53">
        <f t="shared" si="18"/>
        <v>0</v>
      </c>
      <c r="O81" s="162">
        <f t="shared" si="18"/>
        <v>0</v>
      </c>
      <c r="P81" s="34">
        <f t="shared" si="18"/>
        <v>0.26632499999999998</v>
      </c>
      <c r="Q81" s="2"/>
      <c r="R81" s="46">
        <f>P81-T81</f>
        <v>-36.148866999999996</v>
      </c>
      <c r="S81" s="154"/>
      <c r="T81" s="34">
        <f>+'Impo 2018'!P81</f>
        <v>36.415191999999998</v>
      </c>
      <c r="U81" s="2"/>
    </row>
    <row r="82" spans="2:21" s="3" customFormat="1" ht="18" customHeight="1" thickTop="1" thickBot="1">
      <c r="B82" s="261"/>
      <c r="C82" s="32" t="s">
        <v>179</v>
      </c>
      <c r="D82" s="35">
        <f>IFERROR((D81-'Expo 2017'!D81)/'Expo 2017'!D81,0)</f>
        <v>0</v>
      </c>
      <c r="E82" s="35">
        <f>IFERROR((E81-'Expo 2017'!E81)/'Expo 2017'!E81,0)</f>
        <v>-1</v>
      </c>
      <c r="F82" s="35">
        <f>IFERROR((F81-'Expo 2017'!F81)/'Expo 2017'!F81,0)</f>
        <v>0</v>
      </c>
      <c r="G82" s="35">
        <f>IFERROR((G81-'Expo 2017'!G81)/'Expo 2017'!G81,0)</f>
        <v>0</v>
      </c>
      <c r="H82" s="35">
        <f>IFERROR((H81-'Expo 2017'!H81)/'Expo 2017'!H81,0)</f>
        <v>0</v>
      </c>
      <c r="I82" s="35">
        <f>IFERROR((I81-'Expo 2017'!I81)/'Expo 2017'!I81,0)</f>
        <v>0</v>
      </c>
      <c r="J82" s="35">
        <f>IFERROR((J81-'Expo 2017'!J81)/'Expo 2017'!J81,0)</f>
        <v>0</v>
      </c>
      <c r="K82" s="35">
        <f>IFERROR((K81-'Expo 2017'!K81)/'Expo 2017'!K81,0)</f>
        <v>-1</v>
      </c>
      <c r="L82" s="35">
        <f>IFERROR((L81-'Expo 2017'!L81)/'Expo 2017'!L81,0)</f>
        <v>0</v>
      </c>
      <c r="M82" s="35">
        <f>IFERROR((M81-'Expo 2017'!M81)/'Expo 2017'!M81,0)</f>
        <v>0</v>
      </c>
      <c r="N82" s="172">
        <f>IFERROR((N81-'Expo 2017'!N81)/'Expo 2017'!N81,0)</f>
        <v>-1</v>
      </c>
      <c r="O82" s="148">
        <f>IFERROR((O81-'Expo 2017'!O81)/'Expo 2017'!O81,0)</f>
        <v>-1</v>
      </c>
      <c r="P82" s="139">
        <f ca="1">IFERROR((P81-SUM('Expo 2017'!$D81:OFFSET('Expo 2017'!$D81,0,Índice!$Y$5)))/SUM('Expo 2017'!$D81:OFFSET('Expo 2017'!$D81,0,Índice!$Y$5)),0)</f>
        <v>-0.39612814576819216</v>
      </c>
      <c r="Q82" s="2"/>
      <c r="R82" s="14"/>
      <c r="S82" s="154"/>
      <c r="T82" s="35">
        <f ca="1">+'Impo 2018'!P82</f>
        <v>-0.63215385264052959</v>
      </c>
      <c r="U82" s="2"/>
    </row>
    <row r="83" spans="2:21" ht="18" customHeight="1" thickTop="1" thickBot="1">
      <c r="B83" s="261" t="s">
        <v>61</v>
      </c>
      <c r="C83" s="29" t="s">
        <v>65</v>
      </c>
      <c r="D83" s="34">
        <f>+D3+D8+D13+D18+D23+D28+D33+D38+D43+D48+D53+D58+D63+D68+D73+D78</f>
        <v>341.3705821201001</v>
      </c>
      <c r="E83" s="34">
        <f t="shared" ref="E83:P83" si="19">+E3+E8+E13+E18+E23+E28+E33+E38+E43+E48+E53+E58+E63+E68+E73+E78</f>
        <v>339.61495091249998</v>
      </c>
      <c r="F83" s="34">
        <f t="shared" si="19"/>
        <v>400.96238788289992</v>
      </c>
      <c r="G83" s="34">
        <f t="shared" si="19"/>
        <v>425.38291233720003</v>
      </c>
      <c r="H83" s="34">
        <f t="shared" si="19"/>
        <v>364.04374098620002</v>
      </c>
      <c r="I83" s="34">
        <f t="shared" si="19"/>
        <v>353.41975269120002</v>
      </c>
      <c r="J83" s="34">
        <f t="shared" si="19"/>
        <v>337.65754039579997</v>
      </c>
      <c r="K83" s="34">
        <f t="shared" si="19"/>
        <v>300.50167004418995</v>
      </c>
      <c r="L83" s="34">
        <f t="shared" si="19"/>
        <v>276.78323740749988</v>
      </c>
      <c r="M83" s="34">
        <f t="shared" si="19"/>
        <v>298.76176632860006</v>
      </c>
      <c r="N83" s="34">
        <f t="shared" si="19"/>
        <v>352.60438562999997</v>
      </c>
      <c r="O83" s="34">
        <f t="shared" si="19"/>
        <v>0</v>
      </c>
      <c r="P83" s="34">
        <f t="shared" si="19"/>
        <v>3791.1029267361901</v>
      </c>
      <c r="Q83" s="5"/>
      <c r="R83" s="14"/>
      <c r="T83" s="34">
        <f>+'Impo 2018'!P83</f>
        <v>5868.7352364535691</v>
      </c>
      <c r="U83" s="3"/>
    </row>
    <row r="84" spans="2:21" ht="18" customHeight="1" thickTop="1" thickBot="1">
      <c r="B84" s="261"/>
      <c r="C84" s="29" t="s">
        <v>59</v>
      </c>
      <c r="D84" s="34">
        <f t="shared" ref="D84:P85" si="20">+D4+D9+D14+D19+D24+D29+D34+D39+D44+D49+D54+D59+D64+D69+D74+D79</f>
        <v>401.67964756169994</v>
      </c>
      <c r="E84" s="34">
        <f t="shared" si="20"/>
        <v>373.95937596020002</v>
      </c>
      <c r="F84" s="34">
        <f t="shared" si="20"/>
        <v>480.54862795040009</v>
      </c>
      <c r="G84" s="34">
        <f t="shared" si="20"/>
        <v>351.53771282939999</v>
      </c>
      <c r="H84" s="34">
        <f t="shared" si="20"/>
        <v>355.43741237340009</v>
      </c>
      <c r="I84" s="34">
        <f t="shared" si="20"/>
        <v>347.99214815670001</v>
      </c>
      <c r="J84" s="34">
        <f t="shared" si="20"/>
        <v>285.43852204000007</v>
      </c>
      <c r="K84" s="34">
        <f t="shared" si="20"/>
        <v>471.14370280450004</v>
      </c>
      <c r="L84" s="34">
        <f t="shared" si="20"/>
        <v>215.86996343570001</v>
      </c>
      <c r="M84" s="34">
        <f t="shared" si="20"/>
        <v>384.35860806470004</v>
      </c>
      <c r="N84" s="34">
        <f t="shared" si="20"/>
        <v>363.83791108999992</v>
      </c>
      <c r="O84" s="34">
        <f t="shared" si="20"/>
        <v>0</v>
      </c>
      <c r="P84" s="34">
        <f t="shared" si="20"/>
        <v>4031.8036322666985</v>
      </c>
      <c r="Q84" s="5"/>
      <c r="R84" s="14"/>
      <c r="T84" s="34">
        <f>+'Impo 2018'!P84</f>
        <v>15072.305409035269</v>
      </c>
      <c r="U84" s="3"/>
    </row>
    <row r="85" spans="2:21" ht="18" customHeight="1" thickTop="1" thickBot="1">
      <c r="B85" s="261"/>
      <c r="C85" s="29" t="s">
        <v>60</v>
      </c>
      <c r="D85" s="34">
        <f t="shared" si="20"/>
        <v>81.624185955900003</v>
      </c>
      <c r="E85" s="34">
        <f t="shared" si="20"/>
        <v>129.31691632250002</v>
      </c>
      <c r="F85" s="34">
        <f t="shared" si="20"/>
        <v>111.25505442689997</v>
      </c>
      <c r="G85" s="34">
        <f t="shared" si="20"/>
        <v>113.83961354290001</v>
      </c>
      <c r="H85" s="34">
        <f t="shared" si="20"/>
        <v>132.66157129770002</v>
      </c>
      <c r="I85" s="34">
        <f t="shared" si="20"/>
        <v>113.77005306699999</v>
      </c>
      <c r="J85" s="34">
        <f t="shared" si="20"/>
        <v>120.90848133059998</v>
      </c>
      <c r="K85" s="34">
        <f t="shared" si="20"/>
        <v>121.6425081789</v>
      </c>
      <c r="L85" s="34">
        <f t="shared" si="20"/>
        <v>128.61774016989997</v>
      </c>
      <c r="M85" s="34">
        <f t="shared" si="20"/>
        <v>102.88711536530001</v>
      </c>
      <c r="N85" s="34">
        <f t="shared" si="20"/>
        <v>97.911187439999992</v>
      </c>
      <c r="O85" s="34">
        <f t="shared" si="20"/>
        <v>0</v>
      </c>
      <c r="P85" s="34">
        <f t="shared" si="20"/>
        <v>1254.4344270976001</v>
      </c>
      <c r="Q85" s="5"/>
      <c r="R85" s="14"/>
      <c r="T85" s="34">
        <f>+'Impo 2018'!P85</f>
        <v>588.69718746521994</v>
      </c>
      <c r="U85" s="3"/>
    </row>
    <row r="86" spans="2:21" ht="18" customHeight="1" thickTop="1" thickBot="1">
      <c r="B86" s="261"/>
      <c r="C86" s="29" t="s">
        <v>139</v>
      </c>
      <c r="D86" s="34">
        <f>+D83+D84+D85</f>
        <v>824.67441563770001</v>
      </c>
      <c r="E86" s="34">
        <f t="shared" ref="E86:O86" si="21">+E83+E84+E85</f>
        <v>842.89124319519999</v>
      </c>
      <c r="F86" s="34">
        <f t="shared" si="21"/>
        <v>992.76607026019997</v>
      </c>
      <c r="G86" s="34">
        <f t="shared" si="21"/>
        <v>890.76023870950007</v>
      </c>
      <c r="H86" s="34">
        <f t="shared" si="21"/>
        <v>852.14272465730005</v>
      </c>
      <c r="I86" s="34">
        <f t="shared" si="21"/>
        <v>815.18195391490008</v>
      </c>
      <c r="J86" s="34">
        <f t="shared" si="21"/>
        <v>744.00454376640005</v>
      </c>
      <c r="K86" s="34">
        <f t="shared" si="21"/>
        <v>893.28788102758995</v>
      </c>
      <c r="L86" s="34">
        <f t="shared" si="21"/>
        <v>621.2709410130999</v>
      </c>
      <c r="M86" s="34">
        <f t="shared" si="21"/>
        <v>786.00748975860017</v>
      </c>
      <c r="N86" s="34">
        <f t="shared" si="21"/>
        <v>814.35348415999988</v>
      </c>
      <c r="O86" s="34">
        <f t="shared" si="21"/>
        <v>0</v>
      </c>
      <c r="P86" s="34">
        <f>+P83+P84+P85</f>
        <v>9077.3409861004893</v>
      </c>
      <c r="Q86" s="5"/>
      <c r="R86" s="46">
        <f>P86-T86</f>
        <v>-12452.396846853566</v>
      </c>
      <c r="T86" s="34">
        <f>+'Impo 2018'!P86</f>
        <v>21529.737832954055</v>
      </c>
      <c r="U86" s="3"/>
    </row>
    <row r="87" spans="2:21" ht="18" customHeight="1" thickTop="1" thickBot="1">
      <c r="B87" s="261"/>
      <c r="C87" s="32" t="s">
        <v>179</v>
      </c>
      <c r="D87" s="35">
        <f>+(D86-'Expo 2017'!D86)/'Expo 2017'!D86</f>
        <v>-1.7912409717418292E-2</v>
      </c>
      <c r="E87" s="35">
        <f>+(E86-'Expo 2017'!E86)/'Expo 2017'!E86</f>
        <v>0.14941816150133169</v>
      </c>
      <c r="F87" s="35">
        <f>+(F86-'Expo 2017'!F86)/'Expo 2017'!F86</f>
        <v>0.16622448691272793</v>
      </c>
      <c r="G87" s="35">
        <f>+(G86-'Expo 2017'!G86)/'Expo 2017'!G86</f>
        <v>0.20937544346042858</v>
      </c>
      <c r="H87" s="35">
        <f>+(H86-'Expo 2017'!H86)/'Expo 2017'!H86</f>
        <v>-8.9698439568895269E-2</v>
      </c>
      <c r="I87" s="35">
        <f>+(I86-'Expo 2017'!I86)/'Expo 2017'!I86</f>
        <v>-0.11753517354081101</v>
      </c>
      <c r="J87" s="35">
        <f>+(J86-'Expo 2017'!J86)/'Expo 2017'!J86</f>
        <v>-5.5469706949745096E-2</v>
      </c>
      <c r="K87" s="35">
        <f>+(K86-'Expo 2017'!K86)/'Expo 2017'!K86</f>
        <v>-8.3700643165124919E-2</v>
      </c>
      <c r="L87" s="35">
        <f>+(L86-'Expo 2017'!L86)/'Expo 2017'!L86</f>
        <v>-0.32910899351375111</v>
      </c>
      <c r="M87" s="35">
        <f>+(M86-'Expo 2017'!M86)/'Expo 2017'!M86</f>
        <v>-0.15088062947932684</v>
      </c>
      <c r="N87" s="35">
        <f>+(N86-'Expo 2017'!N86)/'Expo 2017'!N86</f>
        <v>-0.14168222861912907</v>
      </c>
      <c r="O87" s="35">
        <f>+(O86-'Expo 2017'!O86)/'Expo 2017'!O86</f>
        <v>-1</v>
      </c>
      <c r="P87" s="139">
        <f ca="1">(P86-SUM('Expo 2017'!$D86:OFFSET('Expo 2017'!$D86,0,Índice!$Y$5)))/SUM('Expo 2017'!$D86:OFFSET('Expo 2017'!$D86,0,Índice!$Y$5))</f>
        <v>-5.2844106663588894E-2</v>
      </c>
      <c r="Q87" s="6"/>
      <c r="R87" s="14"/>
      <c r="T87" s="35">
        <f ca="1">+'Impo 2018'!P87</f>
        <v>-7.7645511448452942E-2</v>
      </c>
    </row>
    <row r="88" spans="2:21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154"/>
      <c r="T88" s="2"/>
      <c r="U88" s="2"/>
    </row>
    <row r="89" spans="2:21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154"/>
      <c r="T89" s="2"/>
      <c r="U89" s="2"/>
    </row>
    <row r="90" spans="2:21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46"/>
      <c r="Q90" s="2"/>
      <c r="R90" s="146"/>
      <c r="S90" s="154"/>
      <c r="T90" s="2"/>
      <c r="U90" s="2"/>
    </row>
    <row r="91" spans="2:21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154"/>
      <c r="T91" s="2"/>
      <c r="U91" s="2"/>
    </row>
    <row r="92" spans="2:21" ht="18" customHeight="1">
      <c r="B92" s="36" t="s">
        <v>92</v>
      </c>
    </row>
    <row r="93" spans="2:21">
      <c r="R93" s="36"/>
    </row>
    <row r="94" spans="2:21"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T94" s="6"/>
    </row>
    <row r="95" spans="2:21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21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</sheetData>
  <mergeCells count="17">
    <mergeCell ref="B63:B67"/>
    <mergeCell ref="B68:B72"/>
    <mergeCell ref="B73:B77"/>
    <mergeCell ref="B78:B82"/>
    <mergeCell ref="B83:B87"/>
    <mergeCell ref="B58:B6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</mergeCells>
  <hyperlinks>
    <hyperlink ref="P1" location="Índice!A1" display="Índice" xr:uid="{00000000-0004-0000-1900-000000000000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W96"/>
  <sheetViews>
    <sheetView topLeftCell="D1" zoomScale="90" zoomScaleNormal="90" zoomScaleSheetLayoutView="90" workbookViewId="0">
      <selection activeCell="Q3" sqref="Q3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6384" width="11.42578125" style="2"/>
  </cols>
  <sheetData>
    <row r="1" spans="2:23" s="8" customFormat="1" ht="38.25" customHeight="1" thickBot="1">
      <c r="B1" s="22" t="s">
        <v>162</v>
      </c>
      <c r="P1" s="87" t="s">
        <v>111</v>
      </c>
      <c r="T1" s="38" t="s">
        <v>177</v>
      </c>
    </row>
    <row r="2" spans="2:23" ht="30" customHeight="1" thickTop="1">
      <c r="B2" s="33" t="s">
        <v>36</v>
      </c>
      <c r="C2" s="21" t="s">
        <v>23</v>
      </c>
      <c r="D2" s="141" t="s">
        <v>27</v>
      </c>
      <c r="E2" s="142" t="s">
        <v>28</v>
      </c>
      <c r="F2" s="142" t="s">
        <v>26</v>
      </c>
      <c r="G2" s="142" t="s">
        <v>22</v>
      </c>
      <c r="H2" s="142" t="s">
        <v>29</v>
      </c>
      <c r="I2" s="142" t="s">
        <v>30</v>
      </c>
      <c r="J2" s="142" t="s">
        <v>31</v>
      </c>
      <c r="K2" s="142" t="s">
        <v>32</v>
      </c>
      <c r="L2" s="142" t="s">
        <v>33</v>
      </c>
      <c r="M2" s="142" t="s">
        <v>24</v>
      </c>
      <c r="N2" s="142" t="s">
        <v>34</v>
      </c>
      <c r="O2" s="142" t="s">
        <v>35</v>
      </c>
      <c r="P2" s="141" t="s">
        <v>25</v>
      </c>
      <c r="R2" s="36" t="s">
        <v>95</v>
      </c>
      <c r="T2" s="150" t="s">
        <v>94</v>
      </c>
      <c r="W2" s="36" t="s">
        <v>181</v>
      </c>
    </row>
    <row r="3" spans="2:23" ht="18" customHeight="1" thickBot="1">
      <c r="B3" s="259" t="s">
        <v>0</v>
      </c>
      <c r="C3" s="29" t="s">
        <v>65</v>
      </c>
      <c r="D3" s="34">
        <v>14.733000000000001</v>
      </c>
      <c r="E3" s="34">
        <v>3.447206</v>
      </c>
      <c r="F3" s="34">
        <v>23.032</v>
      </c>
      <c r="G3" s="34">
        <v>14.265000000000001</v>
      </c>
      <c r="H3" s="34">
        <v>6.3840000000000003</v>
      </c>
      <c r="I3" s="34">
        <v>5.2690000000000001</v>
      </c>
      <c r="J3" s="34">
        <v>8.8659999999999997</v>
      </c>
      <c r="K3" s="34">
        <v>7.7770000000000001</v>
      </c>
      <c r="L3" s="34">
        <v>5.3609999999999998</v>
      </c>
      <c r="M3" s="34">
        <v>6.27</v>
      </c>
      <c r="N3" s="34">
        <v>4.6467688499999982</v>
      </c>
      <c r="O3" s="34">
        <v>3.9969999999999999</v>
      </c>
      <c r="P3" s="34">
        <f>+SUM(D3:O3)</f>
        <v>104.04797485</v>
      </c>
      <c r="R3" s="14"/>
      <c r="T3" s="34">
        <v>109.26544059</v>
      </c>
      <c r="V3" s="12">
        <f>+AVERAGE(D3:D3)</f>
        <v>14.733000000000001</v>
      </c>
    </row>
    <row r="4" spans="2:23" ht="18" customHeight="1" thickTop="1" thickBot="1">
      <c r="B4" s="260"/>
      <c r="C4" s="29" t="s">
        <v>59</v>
      </c>
      <c r="D4" s="34">
        <v>16.245000000000001</v>
      </c>
      <c r="E4" s="34">
        <v>2.8</v>
      </c>
      <c r="F4" s="34">
        <v>10.465999999999999</v>
      </c>
      <c r="G4" s="34">
        <v>14.598000000000001</v>
      </c>
      <c r="H4" s="34">
        <v>26.552</v>
      </c>
      <c r="I4" s="34">
        <v>12.19</v>
      </c>
      <c r="J4" s="34">
        <v>3.6120000000000001</v>
      </c>
      <c r="K4" s="34">
        <v>13.528</v>
      </c>
      <c r="L4" s="34">
        <v>21.919</v>
      </c>
      <c r="M4" s="34">
        <v>11.888</v>
      </c>
      <c r="N4" s="34">
        <v>0.79600000000000004</v>
      </c>
      <c r="O4" s="34">
        <v>26.821000000000002</v>
      </c>
      <c r="P4" s="34">
        <f>+SUM(D4:O4)</f>
        <v>161.41499999999999</v>
      </c>
      <c r="R4" s="14"/>
      <c r="T4" s="34">
        <v>56.428058979999989</v>
      </c>
      <c r="V4" s="12">
        <f>+AVERAGE(D4:D4)</f>
        <v>16.245000000000001</v>
      </c>
    </row>
    <row r="5" spans="2:23" ht="18" customHeight="1" thickTop="1" thickBot="1">
      <c r="B5" s="260"/>
      <c r="C5" s="29" t="s">
        <v>60</v>
      </c>
      <c r="D5" s="34">
        <v>33.563813070000002</v>
      </c>
      <c r="E5" s="34">
        <v>25.130624000000001</v>
      </c>
      <c r="F5" s="34">
        <v>18.640999999999998</v>
      </c>
      <c r="G5" s="34">
        <v>29.725000000000001</v>
      </c>
      <c r="H5" s="34">
        <v>33.713000000000001</v>
      </c>
      <c r="I5" s="34">
        <v>32.670999999999999</v>
      </c>
      <c r="J5" s="34">
        <v>50.841000000000001</v>
      </c>
      <c r="K5" s="34">
        <v>31.788118999999998</v>
      </c>
      <c r="L5" s="34">
        <v>47.67</v>
      </c>
      <c r="M5" s="34">
        <v>35.472558690000007</v>
      </c>
      <c r="N5" s="34">
        <v>37.405592289999994</v>
      </c>
      <c r="O5" s="34">
        <v>63.501803919999986</v>
      </c>
      <c r="P5" s="34">
        <f>+SUM(D5:O5)</f>
        <v>440.12351097000004</v>
      </c>
      <c r="R5" s="14"/>
      <c r="T5" s="34">
        <v>13.222440679999986</v>
      </c>
      <c r="V5" s="12">
        <f>+AVERAGE(D5:D5)</f>
        <v>33.563813070000002</v>
      </c>
    </row>
    <row r="6" spans="2:23" ht="18" customHeight="1" thickTop="1" thickBot="1">
      <c r="B6" s="260"/>
      <c r="C6" s="29" t="s">
        <v>139</v>
      </c>
      <c r="D6" s="52">
        <f>+D3+D4+D5</f>
        <v>64.541813070000003</v>
      </c>
      <c r="E6" s="52">
        <f t="shared" ref="E6:O6" si="0">+E3+E4+E5</f>
        <v>31.377830000000003</v>
      </c>
      <c r="F6" s="52">
        <f t="shared" si="0"/>
        <v>52.138999999999996</v>
      </c>
      <c r="G6" s="52">
        <f t="shared" si="0"/>
        <v>58.588000000000001</v>
      </c>
      <c r="H6" s="52">
        <f t="shared" si="0"/>
        <v>66.649000000000001</v>
      </c>
      <c r="I6" s="52">
        <f t="shared" si="0"/>
        <v>50.129999999999995</v>
      </c>
      <c r="J6" s="52">
        <f t="shared" si="0"/>
        <v>63.319000000000003</v>
      </c>
      <c r="K6" s="52">
        <f t="shared" si="0"/>
        <v>53.093119000000002</v>
      </c>
      <c r="L6" s="52">
        <f t="shared" si="0"/>
        <v>74.95</v>
      </c>
      <c r="M6" s="52">
        <f t="shared" si="0"/>
        <v>53.630558690000008</v>
      </c>
      <c r="N6" s="52">
        <f t="shared" si="0"/>
        <v>42.848361139999994</v>
      </c>
      <c r="O6" s="52">
        <f t="shared" si="0"/>
        <v>94.319803919999984</v>
      </c>
      <c r="P6" s="34">
        <f>+P3+P4+P5</f>
        <v>705.58648582000001</v>
      </c>
      <c r="R6" s="46">
        <f>P6-T6</f>
        <v>526.67054557000006</v>
      </c>
      <c r="T6" s="34">
        <v>178.91594024999995</v>
      </c>
      <c r="W6" s="61">
        <f>+D6</f>
        <v>64.541813070000003</v>
      </c>
    </row>
    <row r="7" spans="2:23" ht="18" customHeight="1" thickTop="1" thickBot="1">
      <c r="B7" s="260"/>
      <c r="C7" s="32" t="s">
        <v>156</v>
      </c>
      <c r="D7" s="35">
        <f>+(D6-'Expo 2016'!D6)/'Expo 2016'!D6</f>
        <v>3.6001427593602418</v>
      </c>
      <c r="E7" s="35">
        <f>+(E6-'Expo 2016'!E6)/'Expo 2016'!E6</f>
        <v>2.7911105840617001</v>
      </c>
      <c r="F7" s="35">
        <f>+(F6-'Expo 2016'!F6)/'Expo 2016'!F6</f>
        <v>3.4077425388102816</v>
      </c>
      <c r="G7" s="35">
        <f>+(G6-'Expo 2016'!G6)/'Expo 2016'!G6</f>
        <v>2.4008522033631974</v>
      </c>
      <c r="H7" s="35">
        <f>+(H6-'Expo 2016'!H6)/'Expo 2016'!H6</f>
        <v>0.71592929121826843</v>
      </c>
      <c r="I7" s="35">
        <f>+(I6-'Expo 2016'!I6)/'Expo 2016'!I6</f>
        <v>0.10122711822492637</v>
      </c>
      <c r="J7" s="35">
        <f>+(J6-'Expo 2016'!J6)/'Expo 2016'!J6</f>
        <v>0.19944105664115369</v>
      </c>
      <c r="K7" s="35">
        <f>+(K6-'Expo 2016'!K6)/'Expo 2016'!K6</f>
        <v>0.49138104796015575</v>
      </c>
      <c r="L7" s="35">
        <f>+(L6-'Expo 2016'!L6)/'Expo 2016'!L6</f>
        <v>0.45985576162284331</v>
      </c>
      <c r="M7" s="35">
        <f>+(M6-'Expo 2016'!M6)/'Expo 2016'!M6</f>
        <v>0.59037010720030847</v>
      </c>
      <c r="N7" s="35">
        <f>+(N6-'Expo 2016'!N6)/'Expo 2016'!N6</f>
        <v>6.5325598407248525E-2</v>
      </c>
      <c r="O7" s="35">
        <f>+(O6-'Expo 2016'!O6)/'Expo 2016'!O6</f>
        <v>1.2585500747455549</v>
      </c>
      <c r="P7" s="35">
        <f>+(P6-'Expo 2016'!W6)/'Expo 2016'!W6</f>
        <v>0.80382147494291545</v>
      </c>
      <c r="R7" s="14"/>
      <c r="T7" s="35">
        <v>-0.68767337055559941</v>
      </c>
    </row>
    <row r="8" spans="2:23" ht="18" customHeight="1" thickTop="1" thickBot="1">
      <c r="B8" s="260" t="s">
        <v>77</v>
      </c>
      <c r="C8" s="29" t="s">
        <v>65</v>
      </c>
      <c r="D8" s="34">
        <f>+AVERAGE('Expo 2016'!M8:O8)</f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f>+SUM(D8:O8)</f>
        <v>0</v>
      </c>
      <c r="R8" s="14"/>
      <c r="T8" s="34">
        <v>367.50654246666664</v>
      </c>
    </row>
    <row r="9" spans="2:23" ht="18" customHeight="1" thickTop="1" thickBot="1">
      <c r="B9" s="260"/>
      <c r="C9" s="29" t="s">
        <v>59</v>
      </c>
      <c r="D9" s="34">
        <f>+AVERAGE('Expo 2016'!M9:O9)</f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f>+SUM(D9:O9)</f>
        <v>0</v>
      </c>
      <c r="R9" s="14"/>
      <c r="T9" s="34">
        <v>147.91229187333332</v>
      </c>
    </row>
    <row r="10" spans="2:23" ht="18" customHeight="1" thickTop="1" thickBot="1">
      <c r="B10" s="260"/>
      <c r="C10" s="29" t="s">
        <v>60</v>
      </c>
      <c r="D10" s="34">
        <f>+AVERAGE('Expo 2016'!M10:O10)</f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f>+SUM(D10:O10)</f>
        <v>0</v>
      </c>
      <c r="R10" s="14"/>
      <c r="T10" s="34">
        <v>14.507923593333334</v>
      </c>
    </row>
    <row r="11" spans="2:23" ht="18" customHeight="1" thickTop="1" thickBot="1">
      <c r="B11" s="260"/>
      <c r="C11" s="29" t="s">
        <v>139</v>
      </c>
      <c r="D11" s="52">
        <f t="shared" ref="D11:P11" si="1">+D8+D9+D10</f>
        <v>0</v>
      </c>
      <c r="E11" s="52">
        <f t="shared" si="1"/>
        <v>0</v>
      </c>
      <c r="F11" s="52">
        <f t="shared" si="1"/>
        <v>0</v>
      </c>
      <c r="G11" s="52">
        <f t="shared" si="1"/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34">
        <f t="shared" si="1"/>
        <v>0</v>
      </c>
      <c r="R11" s="46">
        <f>P11-T11</f>
        <v>-529.92675793333331</v>
      </c>
      <c r="T11" s="34">
        <v>529.92675793333331</v>
      </c>
      <c r="W11" s="61">
        <f t="shared" ref="W11" si="2">+D11</f>
        <v>0</v>
      </c>
    </row>
    <row r="12" spans="2:23" ht="18" customHeight="1" thickTop="1" thickBot="1">
      <c r="B12" s="260"/>
      <c r="C12" s="32" t="s">
        <v>156</v>
      </c>
      <c r="D12" s="35">
        <f>IFERROR((D11-'Expo 2016'!D11)/'Expo 2016'!D11,0)</f>
        <v>0</v>
      </c>
      <c r="E12" s="35">
        <f>IFERROR((E11-'Expo 2016'!E11)/'Expo 2016'!E11,0)</f>
        <v>0</v>
      </c>
      <c r="F12" s="35">
        <f>IFERROR((F11-'Expo 2016'!F11)/'Expo 2016'!F11,0)</f>
        <v>0</v>
      </c>
      <c r="G12" s="35">
        <f>IFERROR((G11-'Expo 2016'!G11)/'Expo 2016'!G11,0)</f>
        <v>0</v>
      </c>
      <c r="H12" s="35">
        <f>IFERROR((H11-'Expo 2016'!H11)/'Expo 2016'!H11,0)</f>
        <v>0</v>
      </c>
      <c r="I12" s="35">
        <f>IFERROR((I11-'Expo 2016'!I11)/'Expo 2016'!I11,0)</f>
        <v>0</v>
      </c>
      <c r="J12" s="35">
        <f>IFERROR((J11-'Expo 2016'!J11)/'Expo 2016'!J11,0)</f>
        <v>0</v>
      </c>
      <c r="K12" s="35">
        <f>IFERROR((K11-'Expo 2016'!K11)/'Expo 2016'!K11,0)</f>
        <v>0</v>
      </c>
      <c r="L12" s="35">
        <f>IFERROR((L11-'Expo 2016'!L11)/'Expo 2016'!L11,0)</f>
        <v>0</v>
      </c>
      <c r="M12" s="35">
        <f>IFERROR((M11-'Expo 2016'!M11)/'Expo 2016'!M11,0)</f>
        <v>0</v>
      </c>
      <c r="N12" s="35">
        <f>IFERROR((N11-'Expo 2016'!N11)/'Expo 2016'!N11,0)</f>
        <v>0</v>
      </c>
      <c r="O12" s="35">
        <f>IFERROR((O11-'Expo 2016'!O11)/'Expo 2016'!O11,0)</f>
        <v>0</v>
      </c>
      <c r="P12" s="35">
        <f>IFERROR((P11-'Expo 2016'!P11)/'Expo 2016'!P11,0)</f>
        <v>0</v>
      </c>
      <c r="R12" s="14"/>
      <c r="T12" s="35">
        <v>-0.15418076564882732</v>
      </c>
    </row>
    <row r="13" spans="2:23" ht="18" customHeight="1" thickTop="1" thickBot="1">
      <c r="B13" s="260" t="s">
        <v>42</v>
      </c>
      <c r="C13" s="29" t="s">
        <v>65</v>
      </c>
      <c r="D13" s="34">
        <v>127.33499999999999</v>
      </c>
      <c r="E13" s="34">
        <v>118.56</v>
      </c>
      <c r="F13" s="34">
        <v>146.66900000000001</v>
      </c>
      <c r="G13" s="34">
        <v>131.83500000000001</v>
      </c>
      <c r="H13" s="34">
        <v>154.054</v>
      </c>
      <c r="I13" s="34">
        <v>147.691</v>
      </c>
      <c r="J13" s="34">
        <v>146.35900000000001</v>
      </c>
      <c r="K13" s="34">
        <v>183.27</v>
      </c>
      <c r="L13" s="34">
        <v>164.49600000000001</v>
      </c>
      <c r="M13" s="34">
        <v>169.76300000000001</v>
      </c>
      <c r="N13" s="34">
        <v>184.48699999999999</v>
      </c>
      <c r="O13" s="34">
        <v>188.69399999999999</v>
      </c>
      <c r="P13" s="34">
        <f>+SUM(D13:O13)</f>
        <v>1863.2130000000002</v>
      </c>
      <c r="R13" s="14"/>
      <c r="T13" s="34">
        <v>464.27700000000004</v>
      </c>
    </row>
    <row r="14" spans="2:23" ht="18" customHeight="1" thickTop="1" thickBot="1">
      <c r="B14" s="260"/>
      <c r="C14" s="29" t="s">
        <v>59</v>
      </c>
      <c r="D14" s="34">
        <v>285.375</v>
      </c>
      <c r="E14" s="34">
        <v>221.41499999999999</v>
      </c>
      <c r="F14" s="34">
        <v>288.83600000000001</v>
      </c>
      <c r="G14" s="34">
        <v>199.39499999999998</v>
      </c>
      <c r="H14" s="34">
        <f>272.099+27.648</f>
        <v>299.74700000000001</v>
      </c>
      <c r="I14" s="34">
        <f>309.517+15</f>
        <v>324.517</v>
      </c>
      <c r="J14" s="34">
        <f>205.192+13.088</f>
        <v>218.28</v>
      </c>
      <c r="K14" s="34">
        <f>338.469+11.625</f>
        <v>350.09399999999999</v>
      </c>
      <c r="L14" s="34">
        <f>295.349+24.316</f>
        <v>319.66499999999996</v>
      </c>
      <c r="M14" s="34">
        <f>350.534+6.403</f>
        <v>356.93700000000001</v>
      </c>
      <c r="N14" s="34">
        <f>23.553+318.625</f>
        <v>342.178</v>
      </c>
      <c r="O14" s="34">
        <f>344.538+41.213</f>
        <v>385.75100000000003</v>
      </c>
      <c r="P14" s="34">
        <f>+SUM(D14:O14)</f>
        <v>3592.19</v>
      </c>
      <c r="R14" s="14"/>
      <c r="T14" s="34">
        <v>1531.213</v>
      </c>
    </row>
    <row r="15" spans="2:23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+SUM(D15:O15)</f>
        <v>0</v>
      </c>
      <c r="R15" s="14"/>
      <c r="T15" s="34">
        <v>0</v>
      </c>
    </row>
    <row r="16" spans="2:23" ht="18" customHeight="1" thickTop="1" thickBot="1">
      <c r="B16" s="260"/>
      <c r="C16" s="29" t="s">
        <v>139</v>
      </c>
      <c r="D16" s="52">
        <f t="shared" ref="D16:P16" si="3">+D13+D14+D15</f>
        <v>412.71</v>
      </c>
      <c r="E16" s="52">
        <f t="shared" si="3"/>
        <v>339.97500000000002</v>
      </c>
      <c r="F16" s="52">
        <f t="shared" si="3"/>
        <v>435.505</v>
      </c>
      <c r="G16" s="52">
        <f t="shared" si="3"/>
        <v>331.23</v>
      </c>
      <c r="H16" s="52">
        <f>+H13+H14+H15</f>
        <v>453.80100000000004</v>
      </c>
      <c r="I16" s="52">
        <f t="shared" si="3"/>
        <v>472.20799999999997</v>
      </c>
      <c r="J16" s="52">
        <f t="shared" si="3"/>
        <v>364.63900000000001</v>
      </c>
      <c r="K16" s="52">
        <f t="shared" si="3"/>
        <v>533.36400000000003</v>
      </c>
      <c r="L16" s="52">
        <f t="shared" si="3"/>
        <v>484.16099999999994</v>
      </c>
      <c r="M16" s="52">
        <f t="shared" si="3"/>
        <v>526.70000000000005</v>
      </c>
      <c r="N16" s="52">
        <f t="shared" si="3"/>
        <v>526.66499999999996</v>
      </c>
      <c r="O16" s="52">
        <f t="shared" si="3"/>
        <v>574.44500000000005</v>
      </c>
      <c r="P16" s="34">
        <f t="shared" si="3"/>
        <v>5455.4030000000002</v>
      </c>
      <c r="R16" s="46">
        <f>P16-T16</f>
        <v>3459.9130000000005</v>
      </c>
      <c r="T16" s="34">
        <v>1995.49</v>
      </c>
      <c r="W16" s="61">
        <f t="shared" ref="W16" si="4">+D16</f>
        <v>412.71</v>
      </c>
    </row>
    <row r="17" spans="2:23" ht="18" customHeight="1" thickTop="1" thickBot="1">
      <c r="B17" s="260"/>
      <c r="C17" s="32" t="s">
        <v>156</v>
      </c>
      <c r="D17" s="35">
        <f>+(D16-'Expo 2016'!D16)/'Expo 2016'!D16</f>
        <v>0.18163936679178505</v>
      </c>
      <c r="E17" s="35">
        <f>+(E16-'Expo 2016'!E16)/'Expo 2016'!E16</f>
        <v>-0.16961191157182043</v>
      </c>
      <c r="F17" s="35">
        <f>+(F16-'Expo 2016'!F16)/'Expo 2016'!F16</f>
        <v>-0.12173553552342349</v>
      </c>
      <c r="G17" s="35">
        <f>+(G16-'Expo 2016'!G16)/'Expo 2016'!G16</f>
        <v>-0.17285760305255823</v>
      </c>
      <c r="H17" s="35">
        <f>+(H16-'Expo 2016'!H16)/'Expo 2016'!H16</f>
        <v>0.44595369644598259</v>
      </c>
      <c r="I17" s="35">
        <f>+(I16-'Expo 2016'!I16)/'Expo 2016'!I16</f>
        <v>4.9822364705934596E-2</v>
      </c>
      <c r="J17" s="35">
        <f>+(J16-'Expo 2016'!J16)/'Expo 2016'!J16</f>
        <v>-2.1578776487129823E-2</v>
      </c>
      <c r="K17" s="35">
        <f>+(K16-'Expo 2016'!K16)/'Expo 2016'!K16</f>
        <v>0.39208644359764067</v>
      </c>
      <c r="L17" s="35">
        <f>+(L16-'Expo 2016'!L16)/'Expo 2016'!L16</f>
        <v>-5.3009899014792951E-2</v>
      </c>
      <c r="M17" s="35">
        <f>+(M16-'Expo 2016'!M16)/'Expo 2016'!M16</f>
        <v>0.89726594863297437</v>
      </c>
      <c r="N17" s="35">
        <f>+(N16-'Expo 2016'!N16)/'Expo 2016'!N16</f>
        <v>0.34437339663820493</v>
      </c>
      <c r="O17" s="35">
        <f>+(O16-'Expo 2016'!O16)/'Expo 2016'!O16</f>
        <v>0.58686464088397805</v>
      </c>
      <c r="P17" s="35">
        <f>+(P16-'Expo 2016'!W16)/'Expo 2016'!W16</f>
        <v>0.15651727249138045</v>
      </c>
      <c r="R17" s="14"/>
      <c r="T17" s="35">
        <v>0.42732582675160341</v>
      </c>
    </row>
    <row r="18" spans="2:23" ht="18" customHeight="1" thickTop="1" thickBot="1">
      <c r="B18" s="260" t="s">
        <v>1</v>
      </c>
      <c r="C18" s="29" t="s">
        <v>65</v>
      </c>
      <c r="D18" s="34">
        <v>16.87376523</v>
      </c>
      <c r="E18" s="34">
        <v>4.9942005099999998</v>
      </c>
      <c r="F18" s="34">
        <v>2.57238137</v>
      </c>
      <c r="G18" s="34">
        <v>0.64672085999999995</v>
      </c>
      <c r="H18" s="34">
        <v>20.954544479999999</v>
      </c>
      <c r="I18" s="34">
        <v>1.2736229300000002</v>
      </c>
      <c r="J18" s="34">
        <v>10.476093580000001</v>
      </c>
      <c r="K18" s="34">
        <v>1.53452145</v>
      </c>
      <c r="L18" s="34">
        <v>8.9528370400000004</v>
      </c>
      <c r="M18" s="34">
        <v>9.5913785499999999</v>
      </c>
      <c r="N18" s="34">
        <v>5.8096612299999997</v>
      </c>
      <c r="O18" s="147">
        <v>2.660376059999999</v>
      </c>
      <c r="P18" s="34">
        <f>+SUM(D18:O18)</f>
        <v>86.340103290000016</v>
      </c>
      <c r="R18" s="14"/>
      <c r="S18" s="12"/>
      <c r="T18" s="34">
        <v>377.14564372000001</v>
      </c>
    </row>
    <row r="19" spans="2:23" ht="18" customHeight="1" thickTop="1" thickBot="1">
      <c r="B19" s="260"/>
      <c r="C19" s="29" t="s">
        <v>59</v>
      </c>
      <c r="D19" s="34">
        <v>1.2005994600000001</v>
      </c>
      <c r="E19" s="34">
        <v>0.66435543999999991</v>
      </c>
      <c r="F19" s="34">
        <v>0.55851834999999994</v>
      </c>
      <c r="G19" s="34">
        <v>0.54759237999999999</v>
      </c>
      <c r="H19" s="34">
        <v>0.33921258000000004</v>
      </c>
      <c r="I19" s="34">
        <v>0.74767539999999988</v>
      </c>
      <c r="J19" s="34">
        <v>0.77945318000000008</v>
      </c>
      <c r="K19" s="34">
        <v>1.13756674</v>
      </c>
      <c r="L19" s="34">
        <v>0.53932467999999989</v>
      </c>
      <c r="M19" s="34">
        <v>0.70648007000000002</v>
      </c>
      <c r="N19" s="34">
        <v>0.66914835000000006</v>
      </c>
      <c r="O19" s="147">
        <v>0.49270766000000005</v>
      </c>
      <c r="P19" s="34">
        <f>+SUM(D19:O19)</f>
        <v>8.3826342900000004</v>
      </c>
      <c r="R19" s="14"/>
      <c r="S19" s="12"/>
      <c r="T19" s="34">
        <v>1319.7423659666667</v>
      </c>
    </row>
    <row r="20" spans="2:23" ht="18" customHeight="1" thickTop="1" thickBot="1">
      <c r="B20" s="260"/>
      <c r="C20" s="29" t="s">
        <v>60</v>
      </c>
      <c r="D20" s="34">
        <v>0.10341701</v>
      </c>
      <c r="E20" s="34">
        <v>0.24552378</v>
      </c>
      <c r="F20" s="34">
        <v>0.26143569000000005</v>
      </c>
      <c r="G20" s="34">
        <v>0.22527284999999997</v>
      </c>
      <c r="H20" s="34">
        <v>0.35771538000000003</v>
      </c>
      <c r="I20" s="34">
        <v>0.48609841999999992</v>
      </c>
      <c r="J20" s="34">
        <v>0.56008716000000003</v>
      </c>
      <c r="K20" s="34">
        <v>0.40834116999999998</v>
      </c>
      <c r="L20" s="34">
        <v>0.34703914999999996</v>
      </c>
      <c r="M20" s="34">
        <v>0.24120196999999999</v>
      </c>
      <c r="N20" s="34">
        <v>0.37843259999999995</v>
      </c>
      <c r="O20" s="147">
        <v>0.28958150999999999</v>
      </c>
      <c r="P20" s="34">
        <f>+SUM(D20:O20)</f>
        <v>3.9041466900000001</v>
      </c>
      <c r="R20" s="14"/>
      <c r="S20" s="12"/>
      <c r="T20" s="34">
        <v>27.152355460000003</v>
      </c>
    </row>
    <row r="21" spans="2:23" ht="18" customHeight="1" thickTop="1" thickBot="1">
      <c r="B21" s="260"/>
      <c r="C21" s="29" t="s">
        <v>139</v>
      </c>
      <c r="D21" s="52">
        <f t="shared" ref="D21:P21" si="5">+D18+D19+D20</f>
        <v>18.177781700000001</v>
      </c>
      <c r="E21" s="52">
        <f t="shared" si="5"/>
        <v>5.9040797299999994</v>
      </c>
      <c r="F21" s="52">
        <f t="shared" si="5"/>
        <v>3.3923354099999998</v>
      </c>
      <c r="G21" s="52">
        <f t="shared" si="5"/>
        <v>1.4195860900000001</v>
      </c>
      <c r="H21" s="52">
        <f t="shared" si="5"/>
        <v>21.651472439999999</v>
      </c>
      <c r="I21" s="52">
        <f t="shared" si="5"/>
        <v>2.5073967499999998</v>
      </c>
      <c r="J21" s="52">
        <f t="shared" si="5"/>
        <v>11.815633920000002</v>
      </c>
      <c r="K21" s="52">
        <f t="shared" si="5"/>
        <v>3.0804293600000001</v>
      </c>
      <c r="L21" s="52">
        <f t="shared" si="5"/>
        <v>9.8392008700000009</v>
      </c>
      <c r="M21" s="52">
        <f t="shared" si="5"/>
        <v>10.53906059</v>
      </c>
      <c r="N21" s="52">
        <f t="shared" si="5"/>
        <v>6.8572421800000001</v>
      </c>
      <c r="O21" s="162">
        <f t="shared" si="5"/>
        <v>3.4426652299999994</v>
      </c>
      <c r="P21" s="34">
        <f t="shared" si="5"/>
        <v>98.626884270000019</v>
      </c>
      <c r="R21" s="46">
        <f>P21-T21</f>
        <v>-1625.4134808766667</v>
      </c>
      <c r="T21" s="34">
        <v>1724.0403651466668</v>
      </c>
      <c r="W21" s="61">
        <f t="shared" ref="W21" si="6">+D21</f>
        <v>18.177781700000001</v>
      </c>
    </row>
    <row r="22" spans="2:23" ht="18" customHeight="1" thickTop="1" thickBot="1">
      <c r="B22" s="260"/>
      <c r="C22" s="32" t="s">
        <v>156</v>
      </c>
      <c r="D22" s="35">
        <f>+(D21-'Expo 2016'!D21)/'Expo 2016'!D21</f>
        <v>46.762460803661796</v>
      </c>
      <c r="E22" s="35">
        <f>+(E21-'Expo 2016'!E21)/'Expo 2016'!E21</f>
        <v>-0.37157253353751502</v>
      </c>
      <c r="F22" s="35">
        <f>+(F21-'Expo 2016'!F21)/'Expo 2016'!F21</f>
        <v>-0.6736571911850755</v>
      </c>
      <c r="G22" s="35">
        <f>+(G21-'Expo 2016'!G21)/'Expo 2016'!G21</f>
        <v>-0.64016290428024769</v>
      </c>
      <c r="H22" s="35">
        <f>+(H21-'Expo 2016'!H21)/'Expo 2016'!H21</f>
        <v>8.9955728578978587</v>
      </c>
      <c r="I22" s="35">
        <f>+(I21-'Expo 2016'!I21)/'Expo 2016'!I21</f>
        <v>-0.57806155559809014</v>
      </c>
      <c r="J22" s="35">
        <f>+(J21-'Expo 2016'!J21)/'Expo 2016'!J21</f>
        <v>1.9488685613695922</v>
      </c>
      <c r="K22" s="35">
        <f>+(K21-'Expo 2016'!K21)/'Expo 2016'!K21</f>
        <v>-0.51859347468957417</v>
      </c>
      <c r="L22" s="35">
        <f>+(L21-'Expo 2016'!L21)/'Expo 2016'!L21</f>
        <v>1.0510332023602664</v>
      </c>
      <c r="M22" s="35">
        <f>+(M21-'Expo 2016'!M21)/'Expo 2016'!M21</f>
        <v>0.18004649412441556</v>
      </c>
      <c r="N22" s="35">
        <f>+(N21-'Expo 2016'!N21)/'Expo 2016'!N21</f>
        <v>-0.62197084523481994</v>
      </c>
      <c r="O22" s="148">
        <f>+(O21-'Expo 2016'!O21)/'Expo 2016'!O21</f>
        <v>-0.74266545235904602</v>
      </c>
      <c r="P22" s="35">
        <f>+(P21-'Expo 2016'!W21)/'Expo 2016'!W21</f>
        <v>0.1223432111894463</v>
      </c>
      <c r="R22" s="14"/>
      <c r="T22" s="35">
        <v>7.4861009082960367E-2</v>
      </c>
    </row>
    <row r="23" spans="2:23" ht="18" customHeight="1" thickTop="1" thickBot="1">
      <c r="B23" s="260" t="s">
        <v>2</v>
      </c>
      <c r="C23" s="29" t="s">
        <v>65</v>
      </c>
      <c r="D23" s="52">
        <v>0.26302518000000003</v>
      </c>
      <c r="E23" s="52">
        <v>0.15868630000000003</v>
      </c>
      <c r="F23" s="52">
        <v>0.29707542999999997</v>
      </c>
      <c r="G23" s="52">
        <v>8.2162040000000006E-2</v>
      </c>
      <c r="H23" s="52">
        <v>0.17486493</v>
      </c>
      <c r="I23" s="52">
        <v>0.27562741000000002</v>
      </c>
      <c r="J23" s="52">
        <v>0.26406593</v>
      </c>
      <c r="K23" s="52">
        <v>2.2530680000000001E-2</v>
      </c>
      <c r="L23" s="52">
        <v>5.494957000000001E-2</v>
      </c>
      <c r="M23" s="52">
        <v>7.8090000000000002</v>
      </c>
      <c r="N23" s="52">
        <v>0.10913306</v>
      </c>
      <c r="O23" s="162">
        <v>0.189</v>
      </c>
      <c r="P23" s="34">
        <f>+SUM(D23:O23)</f>
        <v>9.7001205299999995</v>
      </c>
      <c r="Q23" s="154"/>
      <c r="R23" s="155"/>
      <c r="S23" s="156"/>
      <c r="T23" s="34">
        <v>799.67726881333328</v>
      </c>
    </row>
    <row r="24" spans="2:23" ht="18" customHeight="1" thickTop="1" thickBot="1">
      <c r="B24" s="260"/>
      <c r="C24" s="29" t="s">
        <v>59</v>
      </c>
      <c r="D24" s="34">
        <v>4.3175247499999996</v>
      </c>
      <c r="E24" s="34">
        <v>5.3155099000000003</v>
      </c>
      <c r="F24" s="34">
        <v>4.6662291599999985</v>
      </c>
      <c r="G24" s="34">
        <v>3.8369077499999995</v>
      </c>
      <c r="H24" s="34">
        <v>3.9499377</v>
      </c>
      <c r="I24" s="34">
        <v>2.0775110299999997</v>
      </c>
      <c r="J24" s="34">
        <v>4.4544340599999996</v>
      </c>
      <c r="K24" s="34">
        <v>6.01348153</v>
      </c>
      <c r="L24" s="34">
        <v>6.0384100500000013</v>
      </c>
      <c r="M24" s="34">
        <v>3.7759999999999998</v>
      </c>
      <c r="N24" s="171">
        <v>4.79408368</v>
      </c>
      <c r="O24" s="147">
        <v>3.367</v>
      </c>
      <c r="P24" s="34">
        <f>+SUM(D24:O24)</f>
        <v>52.607029610000005</v>
      </c>
      <c r="Q24" s="154"/>
      <c r="R24" s="155"/>
      <c r="S24" s="156"/>
      <c r="T24" s="34">
        <v>1271.3490338966665</v>
      </c>
    </row>
    <row r="25" spans="2:23" ht="18" customHeight="1" thickTop="1" thickBot="1">
      <c r="B25" s="260"/>
      <c r="C25" s="29" t="s">
        <v>60</v>
      </c>
      <c r="D25" s="34">
        <v>0.16614240000000005</v>
      </c>
      <c r="E25" s="34">
        <v>1.3213106800000001</v>
      </c>
      <c r="F25" s="34">
        <v>2.2434903600000009</v>
      </c>
      <c r="G25" s="34">
        <v>3.5646408000000003</v>
      </c>
      <c r="H25" s="34">
        <v>2.1573812100000009</v>
      </c>
      <c r="I25" s="34">
        <v>2.7128627399999998</v>
      </c>
      <c r="J25" s="34">
        <v>0.96598017000000003</v>
      </c>
      <c r="K25" s="34">
        <v>1.05560345</v>
      </c>
      <c r="L25" s="34">
        <v>0.80136973999999983</v>
      </c>
      <c r="M25" s="34">
        <v>0.81703875000000004</v>
      </c>
      <c r="N25" s="171">
        <v>5.1216070000000002E-2</v>
      </c>
      <c r="O25" s="147">
        <v>0.67600000000000005</v>
      </c>
      <c r="P25" s="34">
        <f>+SUM(D25:O25)</f>
        <v>16.533036370000001</v>
      </c>
      <c r="Q25" s="154"/>
      <c r="R25" s="155"/>
      <c r="S25" s="156"/>
      <c r="T25" s="34">
        <v>155.75366380333332</v>
      </c>
    </row>
    <row r="26" spans="2:23" ht="18" customHeight="1" thickTop="1" thickBot="1">
      <c r="B26" s="260"/>
      <c r="C26" s="29" t="s">
        <v>139</v>
      </c>
      <c r="D26" s="52">
        <f t="shared" ref="D26:P26" si="7">+D23+D24+D25</f>
        <v>4.7466923299999992</v>
      </c>
      <c r="E26" s="52">
        <f t="shared" si="7"/>
        <v>6.7955068800000005</v>
      </c>
      <c r="F26" s="52">
        <f t="shared" si="7"/>
        <v>7.206794949999999</v>
      </c>
      <c r="G26" s="52">
        <f t="shared" si="7"/>
        <v>7.4837105899999994</v>
      </c>
      <c r="H26" s="52">
        <f t="shared" si="7"/>
        <v>6.2821838400000001</v>
      </c>
      <c r="I26" s="52">
        <f t="shared" si="7"/>
        <v>5.0660011799999989</v>
      </c>
      <c r="J26" s="52">
        <f t="shared" si="7"/>
        <v>5.6844801599999997</v>
      </c>
      <c r="K26" s="52">
        <f t="shared" si="7"/>
        <v>7.0916156600000004</v>
      </c>
      <c r="L26" s="52">
        <f t="shared" si="7"/>
        <v>6.8947293600000013</v>
      </c>
      <c r="M26" s="52">
        <f t="shared" si="7"/>
        <v>12.402038750000001</v>
      </c>
      <c r="N26" s="52">
        <f t="shared" si="7"/>
        <v>4.9544328099999992</v>
      </c>
      <c r="O26" s="162">
        <f t="shared" si="7"/>
        <v>4.2320000000000002</v>
      </c>
      <c r="P26" s="34">
        <f t="shared" si="7"/>
        <v>78.840186510000009</v>
      </c>
      <c r="Q26" s="154"/>
      <c r="R26" s="157">
        <f>P26-T26</f>
        <v>-2147.9397800033335</v>
      </c>
      <c r="S26" s="154"/>
      <c r="T26" s="34">
        <v>2226.7799665133334</v>
      </c>
      <c r="W26" s="61">
        <f t="shared" ref="W26" si="8">+D26</f>
        <v>4.7466923299999992</v>
      </c>
    </row>
    <row r="27" spans="2:23" ht="18" customHeight="1" thickTop="1" thickBot="1">
      <c r="B27" s="260"/>
      <c r="C27" s="32" t="s">
        <v>156</v>
      </c>
      <c r="D27" s="35">
        <f>+(D26-'Expo 2016'!D26)/'Expo 2016'!D26</f>
        <v>0.42771976467728168</v>
      </c>
      <c r="E27" s="35">
        <f>+(E26-'Expo 2016'!E26)/'Expo 2016'!E26</f>
        <v>7.7758335780783936</v>
      </c>
      <c r="F27" s="35">
        <f>+(F26-'Expo 2016'!F26)/'Expo 2016'!F26</f>
        <v>0.85353701497597612</v>
      </c>
      <c r="G27" s="35">
        <f>+(G26-'Expo 2016'!G26)/'Expo 2016'!G26</f>
        <v>0.22754328082466427</v>
      </c>
      <c r="H27" s="35">
        <f>+(H26-'Expo 2016'!H26)/'Expo 2016'!H26</f>
        <v>0.81900670523813224</v>
      </c>
      <c r="I27" s="35">
        <f>+(I26-'Expo 2016'!I26)/'Expo 2016'!I26</f>
        <v>1.5363895234520222</v>
      </c>
      <c r="J27" s="35">
        <f>+(J26-'Expo 2016'!J26)/'Expo 2016'!J26</f>
        <v>0.19557706326288171</v>
      </c>
      <c r="K27" s="35">
        <f>+(K26-'Expo 2016'!K26)/'Expo 2016'!K26</f>
        <v>-0.27162719258734624</v>
      </c>
      <c r="L27" s="35">
        <f>+(L26-'Expo 2016'!L26)/'Expo 2016'!L26</f>
        <v>0.11207788783773776</v>
      </c>
      <c r="M27" s="35">
        <f>+(M26-'Expo 2016'!M26)/'Expo 2016'!M26</f>
        <v>0.33365626059511172</v>
      </c>
      <c r="N27" s="35">
        <f>+(N26-'Expo 2016'!N26)/'Expo 2016'!N26</f>
        <v>-0.18262337399258544</v>
      </c>
      <c r="O27" s="148">
        <f>+(O26-'Expo 2016'!O26)/'Expo 2016'!O26</f>
        <v>-5.5515088984482937E-2</v>
      </c>
      <c r="P27" s="35">
        <f>+(P26-'Expo 2016'!W26)/'Expo 2016'!W26</f>
        <v>0.3125439142729427</v>
      </c>
      <c r="Q27" s="154"/>
      <c r="R27" s="155"/>
      <c r="S27" s="154"/>
      <c r="T27" s="35">
        <v>-6.890275911326442E-2</v>
      </c>
    </row>
    <row r="28" spans="2:23" s="3" customFormat="1" ht="18" customHeight="1" thickTop="1" thickBot="1">
      <c r="B28" s="260" t="s">
        <v>5</v>
      </c>
      <c r="C28" s="29" t="s">
        <v>65</v>
      </c>
      <c r="D28" s="34">
        <v>7.7415023799999956</v>
      </c>
      <c r="E28" s="34">
        <v>8.0811690600000006</v>
      </c>
      <c r="F28" s="34">
        <v>7.2187168100000045</v>
      </c>
      <c r="G28" s="34">
        <v>11.021911460000002</v>
      </c>
      <c r="H28" s="34">
        <v>18.86496</v>
      </c>
      <c r="I28" s="34">
        <v>8.1932579700000066</v>
      </c>
      <c r="J28" s="34">
        <v>4.0924180700000026</v>
      </c>
      <c r="K28" s="34">
        <v>11.998648750000005</v>
      </c>
      <c r="L28" s="171">
        <v>12.612129329999973</v>
      </c>
      <c r="M28" s="171">
        <v>5.9646982799999995</v>
      </c>
      <c r="N28" s="171">
        <v>12.616391390000002</v>
      </c>
      <c r="O28" s="159">
        <f>+AVERAGE(D28:M28)</f>
        <v>9.5789412109999983</v>
      </c>
      <c r="P28" s="34">
        <f>+SUM(D28:O28)</f>
        <v>117.98474471099999</v>
      </c>
      <c r="R28" s="14"/>
      <c r="S28" s="12"/>
      <c r="T28" s="34">
        <v>153.26279086000002</v>
      </c>
      <c r="W28" s="2"/>
    </row>
    <row r="29" spans="2:23" s="3" customFormat="1" ht="18" customHeight="1" thickTop="1" thickBot="1">
      <c r="B29" s="260"/>
      <c r="C29" s="29" t="s">
        <v>59</v>
      </c>
      <c r="D29" s="34">
        <v>3.2860451200000003</v>
      </c>
      <c r="E29" s="171">
        <v>3.2747209700000011</v>
      </c>
      <c r="F29" s="34">
        <v>5.4530955299999997</v>
      </c>
      <c r="G29" s="34">
        <v>6.7006459100000013</v>
      </c>
      <c r="H29" s="34">
        <v>3.6884260000000002</v>
      </c>
      <c r="I29" s="34">
        <v>10.452815360000001</v>
      </c>
      <c r="J29" s="34">
        <v>3.5754900699999999</v>
      </c>
      <c r="K29" s="34">
        <v>8.4675725700000033</v>
      </c>
      <c r="L29" s="171">
        <v>3.1548057299999983</v>
      </c>
      <c r="M29" s="171">
        <v>4.6742825399999992</v>
      </c>
      <c r="N29" s="171">
        <v>3.4455538299999997</v>
      </c>
      <c r="O29" s="159">
        <f t="shared" ref="O29:O30" si="9">+AVERAGE(D29:M29)</f>
        <v>5.2727899800000007</v>
      </c>
      <c r="P29" s="34">
        <f>+SUM(D29:O29)</f>
        <v>61.446243610000003</v>
      </c>
      <c r="R29" s="14"/>
      <c r="S29" s="12"/>
      <c r="T29" s="34">
        <v>408.35328547000006</v>
      </c>
      <c r="W29" s="2"/>
    </row>
    <row r="30" spans="2:23" s="3" customFormat="1" ht="18" customHeight="1" thickTop="1" thickBot="1">
      <c r="B30" s="260"/>
      <c r="C30" s="29" t="s">
        <v>60</v>
      </c>
      <c r="D30" s="34">
        <v>4.2755299999999996E-3</v>
      </c>
      <c r="E30" s="34">
        <v>4.6074209999999984E-2</v>
      </c>
      <c r="F30" s="34">
        <v>1.35048E-3</v>
      </c>
      <c r="G30" s="34">
        <v>2.4790030000000001E-2</v>
      </c>
      <c r="H30" s="34">
        <v>2.787E-3</v>
      </c>
      <c r="I30" s="34">
        <v>6.7995E-3</v>
      </c>
      <c r="J30" s="34">
        <v>6.5462500000000009E-3</v>
      </c>
      <c r="K30" s="34">
        <v>7.9956599999999999E-3</v>
      </c>
      <c r="L30" s="171">
        <v>1.1775430000000002E-2</v>
      </c>
      <c r="M30" s="171">
        <v>1.2652799999999999E-3</v>
      </c>
      <c r="N30" s="171">
        <v>1.4582499999999999E-3</v>
      </c>
      <c r="O30" s="159">
        <f t="shared" si="9"/>
        <v>1.1365936999999998E-2</v>
      </c>
      <c r="P30" s="34">
        <f>+SUM(D30:O30)</f>
        <v>0.12648355699999997</v>
      </c>
      <c r="R30" s="14"/>
      <c r="S30" s="12"/>
      <c r="T30" s="34">
        <v>2.5993447699999996</v>
      </c>
      <c r="W30" s="2"/>
    </row>
    <row r="31" spans="2:23" s="3" customFormat="1" ht="18" customHeight="1" thickTop="1" thickBot="1">
      <c r="B31" s="260"/>
      <c r="C31" s="29" t="s">
        <v>139</v>
      </c>
      <c r="D31" s="52">
        <f t="shared" ref="D31:P31" si="10">+D28+D29+D30</f>
        <v>11.031823029999995</v>
      </c>
      <c r="E31" s="52">
        <f t="shared" si="10"/>
        <v>11.401964240000002</v>
      </c>
      <c r="F31" s="52">
        <f t="shared" si="10"/>
        <v>12.673162820000003</v>
      </c>
      <c r="G31" s="52">
        <f t="shared" si="10"/>
        <v>17.747347400000002</v>
      </c>
      <c r="H31" s="52">
        <f t="shared" si="10"/>
        <v>22.556173000000001</v>
      </c>
      <c r="I31" s="52">
        <f t="shared" si="10"/>
        <v>18.652872830000007</v>
      </c>
      <c r="J31" s="52">
        <f t="shared" si="10"/>
        <v>7.6744543900000028</v>
      </c>
      <c r="K31" s="52">
        <f t="shared" si="10"/>
        <v>20.474216980000008</v>
      </c>
      <c r="L31" s="52">
        <f t="shared" si="10"/>
        <v>15.778710489999972</v>
      </c>
      <c r="M31" s="52">
        <f t="shared" si="10"/>
        <v>10.640246099999999</v>
      </c>
      <c r="N31" s="52">
        <f t="shared" si="10"/>
        <v>16.063403470000001</v>
      </c>
      <c r="O31" s="160">
        <f t="shared" si="10"/>
        <v>14.863097128</v>
      </c>
      <c r="P31" s="34">
        <f t="shared" si="10"/>
        <v>179.557471878</v>
      </c>
      <c r="R31" s="46">
        <f>P31-T31</f>
        <v>-384.65794922200007</v>
      </c>
      <c r="T31" s="34">
        <v>564.21542110000007</v>
      </c>
      <c r="W31" s="61">
        <f t="shared" ref="W31" si="11">+D31</f>
        <v>11.031823029999995</v>
      </c>
    </row>
    <row r="32" spans="2:23" s="3" customFormat="1" ht="18" customHeight="1" thickTop="1" thickBot="1">
      <c r="B32" s="260"/>
      <c r="C32" s="32" t="s">
        <v>156</v>
      </c>
      <c r="D32" s="35">
        <f>+(D31-'Expo 2016'!D31)/'Expo 2016'!D31</f>
        <v>0.25744589060387146</v>
      </c>
      <c r="E32" s="35">
        <f>+(E31-'Expo 2016'!E31)/'Expo 2016'!E31</f>
        <v>0.22424645204169691</v>
      </c>
      <c r="F32" s="35">
        <f>+(F31-'Expo 2016'!F31)/'Expo 2016'!F31</f>
        <v>0.43435754555410366</v>
      </c>
      <c r="G32" s="35">
        <f>+(G31-'Expo 2016'!G31)/'Expo 2016'!G31</f>
        <v>1.213524046642368</v>
      </c>
      <c r="H32" s="35">
        <f>+(H31-'Expo 2016'!H31)/'Expo 2016'!H31</f>
        <v>1.116103843275174</v>
      </c>
      <c r="I32" s="35">
        <f>+(I31-'Expo 2016'!I31)/'Expo 2016'!I31</f>
        <v>0.74712060609472342</v>
      </c>
      <c r="J32" s="35">
        <f>+(J31-'Expo 2016'!J31)/'Expo 2016'!J31</f>
        <v>-0.24911973062273168</v>
      </c>
      <c r="K32" s="35">
        <f>+(K31-'Expo 2016'!K31)/'Expo 2016'!K31</f>
        <v>1.4075684122469792</v>
      </c>
      <c r="L32" s="35">
        <f>+(L31-'Expo 2016'!L31)/'Expo 2016'!L31</f>
        <v>1.5344720366098861</v>
      </c>
      <c r="M32" s="35">
        <f>+(M31-'Expo 2016'!M31)/'Expo 2016'!M31</f>
        <v>3.4281769164146464E-2</v>
      </c>
      <c r="N32" s="35">
        <f>+(N31-'Expo 2016'!N31)/'Expo 2016'!N31</f>
        <v>-9.6745596020005112E-3</v>
      </c>
      <c r="O32" s="161">
        <f>+(O31-'Expo 2016'!O31)/'Expo 2016'!O31</f>
        <v>1.3526589681418846</v>
      </c>
      <c r="P32" s="35">
        <f>+(P31-'Expo 2016'!W31)/'Expo 2016'!W31</f>
        <v>0.57435785512343918</v>
      </c>
      <c r="R32" s="14"/>
      <c r="T32" s="35">
        <v>5.2488858072108159E-2</v>
      </c>
      <c r="W32" s="2"/>
    </row>
    <row r="33" spans="2:23" s="3" customFormat="1" ht="18" customHeight="1" thickTop="1" thickBot="1">
      <c r="B33" s="260" t="s">
        <v>4</v>
      </c>
      <c r="C33" s="29" t="s">
        <v>65</v>
      </c>
      <c r="D33" s="52">
        <v>0.59607155000000012</v>
      </c>
      <c r="E33" s="52">
        <v>0.50989236000000004</v>
      </c>
      <c r="F33" s="52">
        <v>0.85523347000000072</v>
      </c>
      <c r="G33" s="34">
        <v>0.75829995000000028</v>
      </c>
      <c r="H33" s="34">
        <v>0.66975255999999983</v>
      </c>
      <c r="I33" s="34">
        <v>0.40595524999999988</v>
      </c>
      <c r="J33" s="34">
        <v>0.38103800000000015</v>
      </c>
      <c r="K33" s="34">
        <v>0.35496686</v>
      </c>
      <c r="L33" s="34">
        <v>0.39504248000000003</v>
      </c>
      <c r="M33" s="34">
        <v>0.57201317000000018</v>
      </c>
      <c r="N33" s="34">
        <v>0.22130899999999992</v>
      </c>
      <c r="O33" s="147">
        <v>0.21501747000000004</v>
      </c>
      <c r="P33" s="34">
        <f>+SUM(D33:O33)</f>
        <v>5.9345921200000014</v>
      </c>
      <c r="R33" s="14"/>
      <c r="T33" s="34">
        <v>128.74439153000006</v>
      </c>
      <c r="W33" s="2"/>
    </row>
    <row r="34" spans="2:23" s="3" customFormat="1" ht="18" customHeight="1" thickTop="1" thickBot="1">
      <c r="B34" s="260"/>
      <c r="C34" s="29" t="s">
        <v>59</v>
      </c>
      <c r="D34" s="52">
        <v>8.2732399999999998E-2</v>
      </c>
      <c r="E34" s="52">
        <v>9.8679500000000017E-2</v>
      </c>
      <c r="F34" s="52">
        <v>5.1771529999999996E-2</v>
      </c>
      <c r="G34" s="52">
        <v>0.19822698999999999</v>
      </c>
      <c r="H34" s="52">
        <v>9.5550120000000002E-2</v>
      </c>
      <c r="I34" s="52">
        <v>1.1768239999999999E-2</v>
      </c>
      <c r="J34" s="52">
        <v>0.18517278000000004</v>
      </c>
      <c r="K34" s="52">
        <v>4.5828859999999999E-2</v>
      </c>
      <c r="L34" s="52">
        <v>1.6811999999999997E-2</v>
      </c>
      <c r="M34" s="52">
        <v>4.7320000000000001E-2</v>
      </c>
      <c r="N34" s="52">
        <v>9.9176E-2</v>
      </c>
      <c r="O34" s="147">
        <v>5.8515579999999998E-2</v>
      </c>
      <c r="P34" s="34">
        <f>+SUM(D34:O34)</f>
        <v>0.99155400000000016</v>
      </c>
      <c r="R34" s="14"/>
      <c r="T34" s="34">
        <v>837.08872890999976</v>
      </c>
      <c r="W34" s="2"/>
    </row>
    <row r="35" spans="2:23" s="3" customFormat="1" ht="18" customHeight="1" thickTop="1" thickBot="1">
      <c r="B35" s="260"/>
      <c r="C35" s="29" t="s">
        <v>60</v>
      </c>
      <c r="D35" s="52">
        <v>1.8E-5</v>
      </c>
      <c r="E35" s="52">
        <v>0.15981999999999999</v>
      </c>
      <c r="F35" s="52">
        <v>4.8904999999999999E-3</v>
      </c>
      <c r="G35" s="52">
        <v>1.8008E-4</v>
      </c>
      <c r="H35" s="52">
        <v>0.1095913</v>
      </c>
      <c r="I35" s="34">
        <v>0.11038117</v>
      </c>
      <c r="J35" s="34">
        <v>6.9518059999999993E-2</v>
      </c>
      <c r="K35" s="34">
        <v>0.41183392000000002</v>
      </c>
      <c r="L35" s="34">
        <v>0.24040757999999998</v>
      </c>
      <c r="M35" s="34">
        <v>0.31759418000000006</v>
      </c>
      <c r="N35" s="34">
        <v>9.9778000000000006E-2</v>
      </c>
      <c r="O35" s="147">
        <v>9.6000000000000002E-5</v>
      </c>
      <c r="P35" s="34">
        <f>+SUM(D35:O35)</f>
        <v>1.5241087899999999</v>
      </c>
      <c r="Q35" s="52"/>
      <c r="R35" s="52"/>
      <c r="S35" s="53"/>
      <c r="T35" s="34">
        <v>65.619174379999947</v>
      </c>
      <c r="W35" s="2"/>
    </row>
    <row r="36" spans="2:23" s="3" customFormat="1" ht="18" customHeight="1" thickTop="1" thickBot="1">
      <c r="B36" s="260"/>
      <c r="C36" s="29" t="s">
        <v>139</v>
      </c>
      <c r="D36" s="52">
        <f t="shared" ref="D36:P36" si="12">+D33+D34+D35</f>
        <v>0.67882195000000012</v>
      </c>
      <c r="E36" s="52">
        <f t="shared" si="12"/>
        <v>0.76839186000000004</v>
      </c>
      <c r="F36" s="52">
        <f t="shared" si="12"/>
        <v>0.91189550000000075</v>
      </c>
      <c r="G36" s="52">
        <f t="shared" si="12"/>
        <v>0.9567070200000003</v>
      </c>
      <c r="H36" s="52">
        <f t="shared" si="12"/>
        <v>0.87489397999999974</v>
      </c>
      <c r="I36" s="52">
        <f t="shared" si="12"/>
        <v>0.52810465999999989</v>
      </c>
      <c r="J36" s="52">
        <f t="shared" si="12"/>
        <v>0.63572884000000029</v>
      </c>
      <c r="K36" s="52">
        <f t="shared" si="12"/>
        <v>0.81262963999999993</v>
      </c>
      <c r="L36" s="52">
        <f t="shared" si="12"/>
        <v>0.65226205999999998</v>
      </c>
      <c r="M36" s="52">
        <f t="shared" si="12"/>
        <v>0.93692735000000027</v>
      </c>
      <c r="N36" s="52">
        <f t="shared" si="12"/>
        <v>0.42026299999999994</v>
      </c>
      <c r="O36" s="162">
        <f t="shared" si="12"/>
        <v>0.27362905000000004</v>
      </c>
      <c r="P36" s="34">
        <f t="shared" si="12"/>
        <v>8.4502549100000017</v>
      </c>
      <c r="R36" s="46">
        <f>P36-T36</f>
        <v>-1023.0020399099997</v>
      </c>
      <c r="T36" s="34">
        <v>1031.4522948199997</v>
      </c>
      <c r="W36" s="61">
        <f t="shared" ref="W36" si="13">+D36</f>
        <v>0.67882195000000012</v>
      </c>
    </row>
    <row r="37" spans="2:23" s="3" customFormat="1" ht="18" customHeight="1" thickTop="1" thickBot="1">
      <c r="B37" s="260"/>
      <c r="C37" s="32" t="s">
        <v>156</v>
      </c>
      <c r="D37" s="35">
        <f>+(D36-'Expo 2016'!D36)/'Expo 2016'!D36</f>
        <v>-0.26643943017759586</v>
      </c>
      <c r="E37" s="35">
        <f>+(E36-'Expo 2016'!E36)/'Expo 2016'!E36</f>
        <v>0.22519024851758218</v>
      </c>
      <c r="F37" s="35">
        <f>+(F36-'Expo 2016'!F36)/'Expo 2016'!F36</f>
        <v>-0.11965867958846824</v>
      </c>
      <c r="G37" s="35">
        <f>+(G36-'Expo 2016'!G36)/'Expo 2016'!G36</f>
        <v>0.27803590713520243</v>
      </c>
      <c r="H37" s="35">
        <f>+(H36-'Expo 2016'!H36)/'Expo 2016'!H36</f>
        <v>-1.120947397360901E-2</v>
      </c>
      <c r="I37" s="35">
        <f>+(I36-'Expo 2016'!I36)/'Expo 2016'!I36</f>
        <v>-0.55254108034439964</v>
      </c>
      <c r="J37" s="35">
        <f>+(J36-'Expo 2016'!J36)/'Expo 2016'!J36</f>
        <v>0.39459063338722328</v>
      </c>
      <c r="K37" s="35">
        <f>+(K36-'Expo 2016'!K36)/'Expo 2016'!K36</f>
        <v>-0.25776393896064537</v>
      </c>
      <c r="L37" s="35">
        <f>+(L36-'Expo 2016'!L36)/'Expo 2016'!L36</f>
        <v>-9.3646177682361637E-2</v>
      </c>
      <c r="M37" s="35">
        <f>+(M36-'Expo 2016'!M36)/'Expo 2016'!M36</f>
        <v>0.66274796209733944</v>
      </c>
      <c r="N37" s="35">
        <f>+(N36-'Expo 2016'!N36)/'Expo 2016'!N36</f>
        <v>0.24700716411272719</v>
      </c>
      <c r="O37" s="148">
        <f>+(O36-'Expo 2016'!O36)/'Expo 2016'!O36</f>
        <v>-0.72292954656037134</v>
      </c>
      <c r="P37" s="35">
        <f>+(P36-'Expo 2016'!W36)/'Expo 2016'!W36</f>
        <v>-0.11612177208975281</v>
      </c>
      <c r="R37" s="14"/>
      <c r="T37" s="35">
        <v>0.172667973104076</v>
      </c>
      <c r="W37" s="2"/>
    </row>
    <row r="38" spans="2:23" s="3" customFormat="1" ht="18" customHeight="1" thickTop="1" thickBot="1">
      <c r="B38" s="260" t="s">
        <v>10</v>
      </c>
      <c r="C38" s="29" t="s">
        <v>65</v>
      </c>
      <c r="D38" s="34">
        <v>4.6689028999999991</v>
      </c>
      <c r="E38" s="34">
        <v>4.9041628700000004</v>
      </c>
      <c r="F38" s="34">
        <v>7.4592785800000003</v>
      </c>
      <c r="G38" s="34">
        <v>4.8495748999999995</v>
      </c>
      <c r="H38" s="34">
        <v>6.6154097400000005</v>
      </c>
      <c r="I38" s="34">
        <v>5.874039100000001</v>
      </c>
      <c r="J38" s="34">
        <v>4.7667453399999999</v>
      </c>
      <c r="K38" s="34">
        <v>5.0019699500000003</v>
      </c>
      <c r="L38" s="34">
        <v>4.8501575800000003</v>
      </c>
      <c r="M38" s="34">
        <v>4.3688791099999991</v>
      </c>
      <c r="N38" s="34">
        <v>4.5613319699999995</v>
      </c>
      <c r="O38" s="159">
        <f>+AVERAGE(D38:N38)</f>
        <v>5.265495640000001</v>
      </c>
      <c r="P38" s="34">
        <f>+SUM(D38:O38)</f>
        <v>63.185947680000012</v>
      </c>
      <c r="R38" s="14"/>
      <c r="T38" s="34">
        <v>128.93831785</v>
      </c>
      <c r="W38" s="2"/>
    </row>
    <row r="39" spans="2:23" s="3" customFormat="1" ht="18" customHeight="1" thickTop="1" thickBot="1">
      <c r="B39" s="260"/>
      <c r="C39" s="29" t="s">
        <v>59</v>
      </c>
      <c r="D39" s="34">
        <v>7.7298454799999998</v>
      </c>
      <c r="E39" s="34">
        <v>6.5208108199999986</v>
      </c>
      <c r="F39" s="34">
        <v>8.6285586500000022</v>
      </c>
      <c r="G39" s="34">
        <v>6.83160363</v>
      </c>
      <c r="H39" s="34">
        <v>8.4750188400000006</v>
      </c>
      <c r="I39" s="34">
        <v>7.1161186299999999</v>
      </c>
      <c r="J39" s="34">
        <v>6.5129614999999994</v>
      </c>
      <c r="K39" s="34">
        <v>7.1838998700000003</v>
      </c>
      <c r="L39" s="34">
        <v>6.2745120199999995</v>
      </c>
      <c r="M39" s="34">
        <v>4.8632839300000006</v>
      </c>
      <c r="N39" s="34">
        <v>7.0262713800000007</v>
      </c>
      <c r="O39" s="159">
        <f t="shared" ref="O39:O40" si="14">+AVERAGE(D39:N39)</f>
        <v>7.0148077045454533</v>
      </c>
      <c r="P39" s="34">
        <f>+SUM(D39:O39)</f>
        <v>84.177692454545436</v>
      </c>
      <c r="R39" s="14"/>
      <c r="T39" s="34">
        <v>232.04093460999997</v>
      </c>
      <c r="W39" s="2"/>
    </row>
    <row r="40" spans="2:23" s="3" customFormat="1" ht="18" customHeight="1" thickTop="1" thickBot="1">
      <c r="B40" s="260"/>
      <c r="C40" s="29" t="s">
        <v>60</v>
      </c>
      <c r="D40" s="52">
        <v>1.8859599999999997E-2</v>
      </c>
      <c r="E40" s="52">
        <v>4.2197419999999999E-2</v>
      </c>
      <c r="F40" s="52">
        <v>7.1688000000000003E-3</v>
      </c>
      <c r="G40" s="52">
        <v>1.2600000000000001E-3</v>
      </c>
      <c r="H40" s="52">
        <v>1.3060270000000001E-2</v>
      </c>
      <c r="I40" s="52">
        <v>1.8898990000000001E-2</v>
      </c>
      <c r="J40" s="52">
        <v>6.7559600000000001E-3</v>
      </c>
      <c r="K40" s="52">
        <v>1.8450770000000002E-2</v>
      </c>
      <c r="L40" s="52">
        <v>3.9078449999999994E-2</v>
      </c>
      <c r="M40" s="52">
        <v>3.0295430000000002E-2</v>
      </c>
      <c r="N40" s="52">
        <v>2.1772E-4</v>
      </c>
      <c r="O40" s="159">
        <f t="shared" si="14"/>
        <v>1.7840310000000002E-2</v>
      </c>
      <c r="P40" s="34">
        <f>+SUM(D40:O40)</f>
        <v>0.21408372000000001</v>
      </c>
      <c r="R40" s="14"/>
      <c r="T40" s="34">
        <v>1.2205226899999999</v>
      </c>
      <c r="W40" s="2"/>
    </row>
    <row r="41" spans="2:23" s="3" customFormat="1" ht="18" customHeight="1" thickTop="1" thickBot="1">
      <c r="B41" s="260"/>
      <c r="C41" s="29" t="s">
        <v>139</v>
      </c>
      <c r="D41" s="52">
        <f t="shared" ref="D41:P41" si="15">+D38+D39+D40</f>
        <v>12.41760798</v>
      </c>
      <c r="E41" s="52">
        <f t="shared" si="15"/>
        <v>11.467171109999999</v>
      </c>
      <c r="F41" s="52">
        <f t="shared" si="15"/>
        <v>16.09500603</v>
      </c>
      <c r="G41" s="52">
        <f t="shared" si="15"/>
        <v>11.682438530000001</v>
      </c>
      <c r="H41" s="52">
        <f t="shared" si="15"/>
        <v>15.103488850000002</v>
      </c>
      <c r="I41" s="52">
        <f t="shared" si="15"/>
        <v>13.00905672</v>
      </c>
      <c r="J41" s="52">
        <f t="shared" si="15"/>
        <v>11.286462799999999</v>
      </c>
      <c r="K41" s="52">
        <f t="shared" si="15"/>
        <v>12.20432059</v>
      </c>
      <c r="L41" s="52">
        <f t="shared" si="15"/>
        <v>11.163748050000001</v>
      </c>
      <c r="M41" s="52">
        <f t="shared" si="15"/>
        <v>9.2624584700000003</v>
      </c>
      <c r="N41" s="52">
        <f t="shared" si="15"/>
        <v>11.58782107</v>
      </c>
      <c r="O41" s="160">
        <f t="shared" si="15"/>
        <v>12.298143654545456</v>
      </c>
      <c r="P41" s="34">
        <f t="shared" si="15"/>
        <v>147.57772385454544</v>
      </c>
      <c r="R41" s="46">
        <f>P41-T41</f>
        <v>-214.62205129545455</v>
      </c>
      <c r="T41" s="34">
        <v>362.19977514999999</v>
      </c>
      <c r="W41" s="61">
        <f t="shared" ref="W41" si="16">+D41</f>
        <v>12.41760798</v>
      </c>
    </row>
    <row r="42" spans="2:23" s="3" customFormat="1" ht="18" customHeight="1" thickTop="1" thickBot="1">
      <c r="B42" s="260"/>
      <c r="C42" s="32" t="s">
        <v>156</v>
      </c>
      <c r="D42" s="35">
        <f>+(D41-'Expo 2016'!D41)/'Expo 2016'!D41</f>
        <v>0.20371262516795169</v>
      </c>
      <c r="E42" s="35">
        <f>+(E41-'Expo 2016'!E41)/'Expo 2016'!E41</f>
        <v>8.5855571828479152E-2</v>
      </c>
      <c r="F42" s="35">
        <f>+(F41-'Expo 2016'!F41)/'Expo 2016'!F41</f>
        <v>0.25880686449251927</v>
      </c>
      <c r="G42" s="35">
        <f>+(G41-'Expo 2016'!G41)/'Expo 2016'!G41</f>
        <v>-0.25896009464047559</v>
      </c>
      <c r="H42" s="35">
        <f>+(H41-'Expo 2016'!H41)/'Expo 2016'!H41</f>
        <v>-9.9831050557289025E-2</v>
      </c>
      <c r="I42" s="35">
        <f>+(I41-'Expo 2016'!I41)/'Expo 2016'!I41</f>
        <v>5.4643759688975224E-2</v>
      </c>
      <c r="J42" s="35">
        <f>+(J41-'Expo 2016'!J41)/'Expo 2016'!J41</f>
        <v>-8.5030695081858176E-2</v>
      </c>
      <c r="K42" s="35">
        <f>+(K41-'Expo 2016'!K41)/'Expo 2016'!K41</f>
        <v>0.21911630334728663</v>
      </c>
      <c r="L42" s="35">
        <f>+(L41-'Expo 2016'!L41)/'Expo 2016'!L41</f>
        <v>2.7618804677298135E-2</v>
      </c>
      <c r="M42" s="35">
        <f>+(M41-'Expo 2016'!M41)/'Expo 2016'!M41</f>
        <v>-0.19819537220220343</v>
      </c>
      <c r="N42" s="35">
        <f>+(N41-'Expo 2016'!N41)/'Expo 2016'!N41</f>
        <v>9.2143532126418445E-2</v>
      </c>
      <c r="O42" s="161">
        <f>+(O41-'Expo 2016'!O41)/'Expo 2016'!O41</f>
        <v>0.1052024797245192</v>
      </c>
      <c r="P42" s="35">
        <f>+(P41-'Expo 2016'!W41)/'Expo 2016'!W41</f>
        <v>1.7493320846001158E-2</v>
      </c>
      <c r="R42" s="14"/>
      <c r="T42" s="35">
        <v>-2.231640877340069E-2</v>
      </c>
      <c r="W42" s="2"/>
    </row>
    <row r="43" spans="2:23" s="3" customFormat="1" ht="18" customHeight="1" thickTop="1" thickBot="1">
      <c r="B43" s="260" t="s">
        <v>11</v>
      </c>
      <c r="C43" s="29" t="s">
        <v>65</v>
      </c>
      <c r="D43" s="34">
        <v>11.475505</v>
      </c>
      <c r="E43" s="34">
        <v>11.453461000000001</v>
      </c>
      <c r="F43" s="34">
        <v>13.432479000000001</v>
      </c>
      <c r="G43" s="34">
        <v>12.352655</v>
      </c>
      <c r="H43" s="34">
        <v>12.200184999999999</v>
      </c>
      <c r="I43" s="34">
        <v>18.370639000000001</v>
      </c>
      <c r="J43" s="34">
        <v>14.187889</v>
      </c>
      <c r="K43" s="34">
        <v>12.630636000000001</v>
      </c>
      <c r="L43" s="34">
        <v>12.975776</v>
      </c>
      <c r="M43" s="34">
        <v>14.125970000000001</v>
      </c>
      <c r="N43" s="34">
        <v>10.658243000000001</v>
      </c>
      <c r="O43" s="34">
        <v>10.090299999999999</v>
      </c>
      <c r="P43" s="34">
        <f>+SUM(D43:O43)</f>
        <v>153.95373799999999</v>
      </c>
      <c r="R43" s="14"/>
      <c r="T43" s="34">
        <v>244.533175</v>
      </c>
      <c r="W43" s="2"/>
    </row>
    <row r="44" spans="2:23" s="3" customFormat="1" ht="18" customHeight="1" thickTop="1" thickBot="1">
      <c r="B44" s="260"/>
      <c r="C44" s="29" t="s">
        <v>59</v>
      </c>
      <c r="D44" s="34">
        <v>5.0301229999999997</v>
      </c>
      <c r="E44" s="34">
        <v>7.566624</v>
      </c>
      <c r="F44" s="34">
        <v>6.5136779999999996</v>
      </c>
      <c r="G44" s="34">
        <v>12.768190000000001</v>
      </c>
      <c r="H44" s="34">
        <v>5.6717190000000004</v>
      </c>
      <c r="I44" s="34">
        <v>8.4439430000000009</v>
      </c>
      <c r="J44" s="34">
        <v>8.764481</v>
      </c>
      <c r="K44" s="34">
        <v>6.1227869999999998</v>
      </c>
      <c r="L44" s="34">
        <v>14.470407</v>
      </c>
      <c r="M44" s="34">
        <v>5.6241680000000001</v>
      </c>
      <c r="N44" s="34">
        <v>6.1457879999999996</v>
      </c>
      <c r="O44" s="34">
        <v>9.7479390000000006</v>
      </c>
      <c r="P44" s="34">
        <f>+SUM(D44:O44)</f>
        <v>96.869846999999993</v>
      </c>
      <c r="R44" s="14"/>
      <c r="T44" s="34">
        <v>489.45653900000002</v>
      </c>
      <c r="W44" s="2"/>
    </row>
    <row r="45" spans="2:23" s="3" customFormat="1" ht="18" customHeight="1" thickTop="1" thickBot="1">
      <c r="B45" s="260"/>
      <c r="C45" s="29" t="s">
        <v>60</v>
      </c>
      <c r="D45" s="52">
        <v>9.2448000000000002E-2</v>
      </c>
      <c r="E45" s="52">
        <v>0.14688300000000001</v>
      </c>
      <c r="F45" s="52">
        <v>0.25284600000000002</v>
      </c>
      <c r="G45" s="52">
        <v>0.118491</v>
      </c>
      <c r="H45" s="34">
        <v>0.250108</v>
      </c>
      <c r="I45" s="34">
        <v>0.23524800000000001</v>
      </c>
      <c r="J45" s="34">
        <v>0.186749</v>
      </c>
      <c r="K45" s="34">
        <v>0.132246</v>
      </c>
      <c r="L45" s="34">
        <v>0.288192</v>
      </c>
      <c r="M45" s="34">
        <v>0.22822300000000001</v>
      </c>
      <c r="N45" s="34">
        <v>0.20727300000000001</v>
      </c>
      <c r="O45" s="34">
        <v>0.39173599999999997</v>
      </c>
      <c r="P45" s="34">
        <f>+SUM(D45:O45)</f>
        <v>2.530443</v>
      </c>
      <c r="R45" s="14"/>
      <c r="T45" s="34">
        <v>7.265142</v>
      </c>
      <c r="W45" s="2"/>
    </row>
    <row r="46" spans="2:23" s="3" customFormat="1" ht="18" customHeight="1" thickTop="1" thickBot="1">
      <c r="B46" s="260"/>
      <c r="C46" s="29" t="s">
        <v>139</v>
      </c>
      <c r="D46" s="52">
        <f t="shared" ref="D46:P46" si="17">+D43+D44+D45</f>
        <v>16.598076000000002</v>
      </c>
      <c r="E46" s="52">
        <f t="shared" si="17"/>
        <v>19.166968000000001</v>
      </c>
      <c r="F46" s="52">
        <f t="shared" si="17"/>
        <v>20.199003000000001</v>
      </c>
      <c r="G46" s="52">
        <f t="shared" si="17"/>
        <v>25.239336000000002</v>
      </c>
      <c r="H46" s="52">
        <f t="shared" si="17"/>
        <v>18.122012000000002</v>
      </c>
      <c r="I46" s="52">
        <f t="shared" si="17"/>
        <v>27.04983</v>
      </c>
      <c r="J46" s="52">
        <f t="shared" si="17"/>
        <v>23.139119000000001</v>
      </c>
      <c r="K46" s="52">
        <f t="shared" si="17"/>
        <v>18.885669</v>
      </c>
      <c r="L46" s="52">
        <f t="shared" si="17"/>
        <v>27.734374999999996</v>
      </c>
      <c r="M46" s="52">
        <f t="shared" si="17"/>
        <v>19.978361</v>
      </c>
      <c r="N46" s="52">
        <f t="shared" si="17"/>
        <v>17.011304000000003</v>
      </c>
      <c r="O46" s="52">
        <f t="shared" si="17"/>
        <v>20.229975000000003</v>
      </c>
      <c r="P46" s="34">
        <f t="shared" si="17"/>
        <v>253.35402799999997</v>
      </c>
      <c r="R46" s="46">
        <f>P46-T46</f>
        <v>-487.90082800000005</v>
      </c>
      <c r="T46" s="34">
        <v>741.25485600000002</v>
      </c>
      <c r="W46" s="61">
        <f t="shared" ref="W46" si="18">+D46</f>
        <v>16.598076000000002</v>
      </c>
    </row>
    <row r="47" spans="2:23" s="3" customFormat="1" ht="18" customHeight="1" thickTop="1" thickBot="1">
      <c r="B47" s="260"/>
      <c r="C47" s="32" t="s">
        <v>156</v>
      </c>
      <c r="D47" s="35">
        <f>+(D46-'Expo 2016'!D46)/'Expo 2016'!D46</f>
        <v>0.37126142337407603</v>
      </c>
      <c r="E47" s="35">
        <f>+(E46-'Expo 2016'!E46)/'Expo 2016'!E46</f>
        <v>0.11450731362120688</v>
      </c>
      <c r="F47" s="35">
        <f>+(F46-'Expo 2016'!F46)/'Expo 2016'!F46</f>
        <v>8.6777435557508178E-2</v>
      </c>
      <c r="G47" s="35">
        <f>+(G46-'Expo 2016'!G46)/'Expo 2016'!G46</f>
        <v>0.59621674031444405</v>
      </c>
      <c r="H47" s="35">
        <f>+(H46-'Expo 2016'!H46)/'Expo 2016'!H46</f>
        <v>-0.10031621466216492</v>
      </c>
      <c r="I47" s="35">
        <f>+(I46-'Expo 2016'!I46)/'Expo 2016'!I46</f>
        <v>0.14190734256523729</v>
      </c>
      <c r="J47" s="35">
        <f>+(J46-'Expo 2016'!J46)/'Expo 2016'!J46</f>
        <v>0.27924067706805245</v>
      </c>
      <c r="K47" s="35">
        <f>+(K46-'Expo 2016'!K46)/'Expo 2016'!K46</f>
        <v>2.1781279466295458E-3</v>
      </c>
      <c r="L47" s="35">
        <f>+(L46-'Expo 2016'!L46)/'Expo 2016'!L46</f>
        <v>0.51758778049194432</v>
      </c>
      <c r="M47" s="35">
        <f>+(M46-'Expo 2016'!M46)/'Expo 2016'!M46</f>
        <v>1.0572988273761285E-2</v>
      </c>
      <c r="N47" s="35">
        <f>+(N46-'Expo 2016'!N46)/'Expo 2016'!N46</f>
        <v>0.12620373244695127</v>
      </c>
      <c r="O47" s="35">
        <f>+(O46-'Expo 2016'!O46)/'Expo 2016'!O46</f>
        <v>-6.0999288298778709E-2</v>
      </c>
      <c r="P47" s="35">
        <f>+(P46-'Expo 2016'!W46)/'Expo 2016'!W46</f>
        <v>0.15603590034199033</v>
      </c>
      <c r="R47" s="14"/>
      <c r="T47" s="35">
        <v>6.9156138754536467E-2</v>
      </c>
      <c r="W47" s="2"/>
    </row>
    <row r="48" spans="2:23" ht="18" customHeight="1" thickTop="1" thickBot="1">
      <c r="B48" s="260" t="s">
        <v>86</v>
      </c>
      <c r="C48" s="29" t="s">
        <v>65</v>
      </c>
      <c r="D48" s="34">
        <v>4.5098248099999996</v>
      </c>
      <c r="E48" s="34">
        <v>3.4794666200000002</v>
      </c>
      <c r="F48" s="34">
        <v>3.88098922</v>
      </c>
      <c r="G48" s="34">
        <v>5.0361084299999996</v>
      </c>
      <c r="H48" s="34">
        <v>5.1288851499999994</v>
      </c>
      <c r="I48" s="34">
        <v>6.4611280600000009</v>
      </c>
      <c r="J48" s="34">
        <v>6.9263157099999999</v>
      </c>
      <c r="K48" s="34">
        <v>4.8090479500000001</v>
      </c>
      <c r="L48" s="34">
        <v>7.2267194400000001</v>
      </c>
      <c r="M48" s="34">
        <v>1.74770395</v>
      </c>
      <c r="N48" s="34">
        <v>4.6580583799999999</v>
      </c>
      <c r="O48" s="147">
        <v>2.995692</v>
      </c>
      <c r="P48" s="34">
        <f>+SUM(D48:O48)</f>
        <v>56.859939719999993</v>
      </c>
      <c r="R48" s="14"/>
      <c r="S48" s="12"/>
      <c r="T48" s="34">
        <v>139.68229944333333</v>
      </c>
    </row>
    <row r="49" spans="2:23" ht="18" customHeight="1" thickTop="1" thickBot="1">
      <c r="B49" s="260"/>
      <c r="C49" s="29" t="s">
        <v>59</v>
      </c>
      <c r="D49" s="34">
        <v>4.6370395599999998</v>
      </c>
      <c r="E49" s="34">
        <v>2.7954720000000002</v>
      </c>
      <c r="F49" s="34">
        <v>5.868157720000001</v>
      </c>
      <c r="G49" s="34">
        <v>4.4705998600000001</v>
      </c>
      <c r="H49" s="34">
        <v>6.0703688300000005</v>
      </c>
      <c r="I49" s="34">
        <v>3.5250510299999993</v>
      </c>
      <c r="J49" s="34">
        <v>4.2333697699999995</v>
      </c>
      <c r="K49" s="34">
        <v>3.9803867400000006</v>
      </c>
      <c r="L49" s="34">
        <v>3.3458947499999998</v>
      </c>
      <c r="M49" s="34">
        <v>1.5219706100000001</v>
      </c>
      <c r="N49" s="34">
        <v>4.0015999400000002</v>
      </c>
      <c r="O49" s="147">
        <v>3.9952459999999999</v>
      </c>
      <c r="P49" s="34">
        <f>+SUM(D49:O49)</f>
        <v>48.44515681</v>
      </c>
      <c r="R49" s="14"/>
      <c r="S49" s="12"/>
      <c r="T49" s="34">
        <v>300.64228601333332</v>
      </c>
    </row>
    <row r="50" spans="2:23" ht="18" customHeight="1" thickTop="1" thickBot="1">
      <c r="B50" s="260"/>
      <c r="C50" s="29" t="s">
        <v>60</v>
      </c>
      <c r="D50" s="171">
        <v>0.12287519000000001</v>
      </c>
      <c r="E50" s="171">
        <v>0.12157175000000001</v>
      </c>
      <c r="F50" s="171">
        <v>2.0961230000000001E-2</v>
      </c>
      <c r="G50" s="171">
        <v>1.244435E-2</v>
      </c>
      <c r="H50" s="171">
        <v>2.9140960000000004E-2</v>
      </c>
      <c r="I50" s="171">
        <v>1.8539699999999999E-2</v>
      </c>
      <c r="J50" s="171">
        <v>0</v>
      </c>
      <c r="K50" s="171">
        <v>2.9009600000000002E-3</v>
      </c>
      <c r="L50" s="171">
        <v>1.1360770000000001E-2</v>
      </c>
      <c r="M50" s="171">
        <v>1.3953999999999998E-4</v>
      </c>
      <c r="N50" s="171">
        <f>3244.66/1000000</f>
        <v>3.2446599999999999E-3</v>
      </c>
      <c r="O50" s="147">
        <v>0</v>
      </c>
      <c r="P50" s="34">
        <f>+SUM(D50:O50)</f>
        <v>0.34317911000000001</v>
      </c>
      <c r="R50" s="14"/>
      <c r="S50" s="12"/>
      <c r="T50" s="34">
        <v>2.1802926733333332</v>
      </c>
    </row>
    <row r="51" spans="2:23" ht="18" customHeight="1" thickTop="1" thickBot="1">
      <c r="B51" s="260"/>
      <c r="C51" s="29" t="s">
        <v>139</v>
      </c>
      <c r="D51" s="52">
        <f t="shared" ref="D51:P51" si="19">+D48+D49+D50</f>
        <v>9.2697395599999997</v>
      </c>
      <c r="E51" s="52">
        <f t="shared" si="19"/>
        <v>6.3965103700000006</v>
      </c>
      <c r="F51" s="52">
        <f t="shared" si="19"/>
        <v>9.7701081700000003</v>
      </c>
      <c r="G51" s="52">
        <f t="shared" si="19"/>
        <v>9.5191526399999997</v>
      </c>
      <c r="H51" s="52">
        <f t="shared" si="19"/>
        <v>11.228394939999999</v>
      </c>
      <c r="I51" s="52">
        <f t="shared" si="19"/>
        <v>10.00471879</v>
      </c>
      <c r="J51" s="52">
        <f t="shared" si="19"/>
        <v>11.15968548</v>
      </c>
      <c r="K51" s="52">
        <f t="shared" si="19"/>
        <v>8.7923356500000001</v>
      </c>
      <c r="L51" s="52">
        <f t="shared" si="19"/>
        <v>10.583974959999999</v>
      </c>
      <c r="M51" s="52">
        <f t="shared" si="19"/>
        <v>3.2698141000000005</v>
      </c>
      <c r="N51" s="52">
        <f t="shared" si="19"/>
        <v>8.6629029800000001</v>
      </c>
      <c r="O51" s="162">
        <f t="shared" si="19"/>
        <v>6.9909379999999999</v>
      </c>
      <c r="P51" s="34">
        <f t="shared" si="19"/>
        <v>105.64827563999998</v>
      </c>
      <c r="Q51" s="4" t="s">
        <v>17</v>
      </c>
      <c r="R51" s="46">
        <f>P51-T51</f>
        <v>-336.85660249</v>
      </c>
      <c r="T51" s="34">
        <v>442.50487813000001</v>
      </c>
      <c r="W51" s="61">
        <f t="shared" ref="W51" si="20">+D51</f>
        <v>9.2697395599999997</v>
      </c>
    </row>
    <row r="52" spans="2:23" ht="18" customHeight="1" thickTop="1" thickBot="1">
      <c r="B52" s="260"/>
      <c r="C52" s="32" t="s">
        <v>156</v>
      </c>
      <c r="D52" s="35">
        <f>+(D51-'Expo 2016'!D51)/'Expo 2016'!D51</f>
        <v>0.11837269522639646</v>
      </c>
      <c r="E52" s="35">
        <f>+(E51-'Expo 2016'!E51)/'Expo 2016'!E51</f>
        <v>0.37838881075146419</v>
      </c>
      <c r="F52" s="35">
        <f>+(F51-'Expo 2016'!F51)/'Expo 2016'!F51</f>
        <v>0.95180820932191701</v>
      </c>
      <c r="G52" s="35">
        <f>+(G51-'Expo 2016'!G51)/'Expo 2016'!G51</f>
        <v>0.25165821871182081</v>
      </c>
      <c r="H52" s="35">
        <f>+(H51-'Expo 2016'!H51)/'Expo 2016'!H51</f>
        <v>-1.4640408570406957E-2</v>
      </c>
      <c r="I52" s="35">
        <f>+(I51-'Expo 2016'!I51)/'Expo 2016'!I51</f>
        <v>0.28043220512635153</v>
      </c>
      <c r="J52" s="35">
        <f>+(J51-'Expo 2016'!J51)/'Expo 2016'!J51</f>
        <v>0.53039765607562683</v>
      </c>
      <c r="K52" s="35">
        <f>+(K51-'Expo 2016'!K51)/'Expo 2016'!K51</f>
        <v>0.8732351925100722</v>
      </c>
      <c r="L52" s="35">
        <f>+(L51-'Expo 2016'!L51)/'Expo 2016'!L51</f>
        <v>1.8145644427951646</v>
      </c>
      <c r="M52" s="35">
        <f>+(M51-'Expo 2016'!M51)/'Expo 2016'!M51</f>
        <v>-0.48269101782384694</v>
      </c>
      <c r="N52" s="35">
        <f>+(N51-'Expo 2016'!N51)/'Expo 2016'!N51</f>
        <v>0.15915936494910909</v>
      </c>
      <c r="O52" s="148">
        <f>+(O51-'Expo 2016'!O51)/'Expo 2016'!O51</f>
        <v>-0.31451756289921928</v>
      </c>
      <c r="P52" s="35">
        <f>+(P51-'Expo 2016'!W51)/'Expo 2016'!W51</f>
        <v>0.25045641386156836</v>
      </c>
      <c r="R52" s="14"/>
      <c r="T52" s="35">
        <v>9.1132378636085129E-2</v>
      </c>
    </row>
    <row r="53" spans="2:23" ht="18" customHeight="1" thickTop="1" thickBot="1">
      <c r="B53" s="260" t="s">
        <v>43</v>
      </c>
      <c r="C53" s="29" t="s">
        <v>65</v>
      </c>
      <c r="D53" s="52">
        <v>79.552075184999993</v>
      </c>
      <c r="E53" s="52">
        <v>115.70087940579999</v>
      </c>
      <c r="F53" s="52">
        <v>123.28792497820001</v>
      </c>
      <c r="G53" s="52">
        <v>112.0720341799</v>
      </c>
      <c r="H53" s="52">
        <v>137.86152191299999</v>
      </c>
      <c r="I53" s="52">
        <v>128.411493275</v>
      </c>
      <c r="J53" s="52">
        <v>117.71890312189998</v>
      </c>
      <c r="K53" s="52">
        <v>135.61007621510001</v>
      </c>
      <c r="L53" s="52">
        <v>118.0715321468</v>
      </c>
      <c r="M53" s="52">
        <v>100.24881281059999</v>
      </c>
      <c r="N53" s="52">
        <v>122.5273291561</v>
      </c>
      <c r="O53" s="52">
        <v>136.24230257200003</v>
      </c>
      <c r="P53" s="34">
        <f>+SUM(D53:O53)</f>
        <v>1427.3048849593999</v>
      </c>
      <c r="R53" s="14"/>
      <c r="T53" s="34">
        <v>1564.3176440225998</v>
      </c>
    </row>
    <row r="54" spans="2:23" ht="18" customHeight="1" thickTop="1" thickBot="1">
      <c r="B54" s="260"/>
      <c r="C54" s="29" t="s">
        <v>59</v>
      </c>
      <c r="D54" s="52">
        <v>113.920093374</v>
      </c>
      <c r="E54" s="52">
        <v>76.377660034199991</v>
      </c>
      <c r="F54" s="52">
        <v>68.941481634100015</v>
      </c>
      <c r="G54" s="52">
        <v>70.206766630599986</v>
      </c>
      <c r="H54" s="52">
        <v>102.6483751879</v>
      </c>
      <c r="I54" s="52">
        <v>96.468276979699993</v>
      </c>
      <c r="J54" s="52">
        <v>94.547242485399977</v>
      </c>
      <c r="K54" s="52">
        <v>111.88292587170001</v>
      </c>
      <c r="L54" s="52">
        <v>89.845693655000005</v>
      </c>
      <c r="M54" s="52">
        <v>94.572617747099997</v>
      </c>
      <c r="N54" s="52">
        <v>96.165147878800013</v>
      </c>
      <c r="O54" s="52">
        <v>87.019886600699991</v>
      </c>
      <c r="P54" s="34">
        <f>+SUM(D54:O54)</f>
        <v>1102.5961680791997</v>
      </c>
      <c r="R54" s="14"/>
      <c r="T54" s="34">
        <v>6506.7250487819001</v>
      </c>
    </row>
    <row r="55" spans="2:23" ht="18" customHeight="1" thickTop="1" thickBot="1">
      <c r="B55" s="260"/>
      <c r="C55" s="29" t="s">
        <v>60</v>
      </c>
      <c r="D55" s="52">
        <v>75.03249613600002</v>
      </c>
      <c r="E55" s="52">
        <v>86.782486082200009</v>
      </c>
      <c r="F55" s="52">
        <v>79.891715723499999</v>
      </c>
      <c r="G55" s="52">
        <v>67.525698222100004</v>
      </c>
      <c r="H55" s="52">
        <v>56.501084546000016</v>
      </c>
      <c r="I55" s="52">
        <v>77.031981419700003</v>
      </c>
      <c r="J55" s="52">
        <v>59.018235620700004</v>
      </c>
      <c r="K55" s="52">
        <v>52.5564035795</v>
      </c>
      <c r="L55" s="52">
        <v>58.53897637450001</v>
      </c>
      <c r="M55" s="52">
        <v>64.869719134400015</v>
      </c>
      <c r="N55" s="52">
        <v>76.250113913699977</v>
      </c>
      <c r="O55" s="52">
        <v>65.21899102510001</v>
      </c>
      <c r="P55" s="34">
        <f>+SUM(D55:O55)</f>
        <v>819.2179017773999</v>
      </c>
      <c r="R55" s="14"/>
      <c r="T55" s="34">
        <v>107.1907938562</v>
      </c>
    </row>
    <row r="56" spans="2:23" ht="18" customHeight="1" thickTop="1" thickBot="1">
      <c r="B56" s="260"/>
      <c r="C56" s="29" t="s">
        <v>139</v>
      </c>
      <c r="D56" s="52">
        <f t="shared" ref="D56:P56" si="21">+D53+D54+D55</f>
        <v>268.50466469500003</v>
      </c>
      <c r="E56" s="52">
        <f t="shared" si="21"/>
        <v>278.86102552220001</v>
      </c>
      <c r="F56" s="52">
        <f t="shared" si="21"/>
        <v>272.12112233580001</v>
      </c>
      <c r="G56" s="52">
        <f t="shared" si="21"/>
        <v>249.80449903260001</v>
      </c>
      <c r="H56" s="52">
        <f t="shared" si="21"/>
        <v>297.01098164690001</v>
      </c>
      <c r="I56" s="52">
        <f t="shared" si="21"/>
        <v>301.91175167439997</v>
      </c>
      <c r="J56" s="52">
        <f t="shared" si="21"/>
        <v>271.28438122799997</v>
      </c>
      <c r="K56" s="52">
        <f t="shared" si="21"/>
        <v>300.0494056663</v>
      </c>
      <c r="L56" s="52">
        <f t="shared" si="21"/>
        <v>266.4562021763</v>
      </c>
      <c r="M56" s="52">
        <f t="shared" si="21"/>
        <v>259.6911496921</v>
      </c>
      <c r="N56" s="52">
        <f t="shared" si="21"/>
        <v>294.94259094860001</v>
      </c>
      <c r="O56" s="52">
        <f t="shared" si="21"/>
        <v>288.48118019780003</v>
      </c>
      <c r="P56" s="34">
        <f t="shared" si="21"/>
        <v>3349.1189548159991</v>
      </c>
      <c r="Q56" s="4" t="s">
        <v>17</v>
      </c>
      <c r="R56" s="46">
        <f>P56-T56</f>
        <v>-4829.1145318447007</v>
      </c>
      <c r="T56" s="34">
        <v>8178.2334866606998</v>
      </c>
      <c r="W56" s="61">
        <f t="shared" ref="W56" si="22">+D56</f>
        <v>268.50466469500003</v>
      </c>
    </row>
    <row r="57" spans="2:23" ht="18" customHeight="1" thickTop="1" thickBot="1">
      <c r="B57" s="260"/>
      <c r="C57" s="32" t="s">
        <v>156</v>
      </c>
      <c r="D57" s="35">
        <f>+(D56-'Expo 2016'!D56)/'Expo 2016'!D56</f>
        <v>6.2922506816289983E-2</v>
      </c>
      <c r="E57" s="35">
        <f>+(E56-'Expo 2016'!E56)/'Expo 2016'!E56</f>
        <v>4.3028483728031905E-2</v>
      </c>
      <c r="F57" s="35">
        <f>+(F56-'Expo 2016'!F56)/'Expo 2016'!F56</f>
        <v>6.7280682661570751E-2</v>
      </c>
      <c r="G57" s="35">
        <f>+(G56-'Expo 2016'!G56)/'Expo 2016'!G56</f>
        <v>-2.0380842260104198E-2</v>
      </c>
      <c r="H57" s="35">
        <f>+(H56-'Expo 2016'!H56)/'Expo 2016'!H56</f>
        <v>0.15134923035958425</v>
      </c>
      <c r="I57" s="35">
        <f>+(I56-'Expo 2016'!I56)/'Expo 2016'!I56</f>
        <v>0.11957864630643424</v>
      </c>
      <c r="J57" s="35">
        <f>+(J56-'Expo 2016'!J56)/'Expo 2016'!J56</f>
        <v>0.15482802751760402</v>
      </c>
      <c r="K57" s="35">
        <f>+(K56-'Expo 2016'!K56)/'Expo 2016'!K56</f>
        <v>0.15329237065482479</v>
      </c>
      <c r="L57" s="35">
        <f>+(L56-'Expo 2016'!L56)/'Expo 2016'!L56</f>
        <v>5.9199577068079962E-2</v>
      </c>
      <c r="M57" s="35">
        <f>+(M56-'Expo 2016'!M56)/'Expo 2016'!M56</f>
        <v>8.8631159341634499E-2</v>
      </c>
      <c r="N57" s="35">
        <f>+(N56-'Expo 2016'!N56)/'Expo 2016'!N56</f>
        <v>8.7338520768323658E-2</v>
      </c>
      <c r="O57" s="35">
        <f>+(O56-'Expo 2016'!O56)/'Expo 2016'!O56</f>
        <v>-9.9111305849581346E-2</v>
      </c>
      <c r="P57" s="35">
        <f>+(P56-'Expo 2016'!W56)/'Expo 2016'!W56</f>
        <v>6.8561323220942882E-2</v>
      </c>
      <c r="R57" s="14"/>
      <c r="T57" s="35">
        <v>0.10557042854628629</v>
      </c>
    </row>
    <row r="58" spans="2:23" s="3" customFormat="1" ht="18" customHeight="1" thickTop="1" thickBot="1">
      <c r="B58" s="260" t="s">
        <v>71</v>
      </c>
      <c r="C58" s="29" t="s">
        <v>65</v>
      </c>
      <c r="D58" s="52">
        <v>6.824914E-2</v>
      </c>
      <c r="E58" s="52">
        <v>0.12681613999999999</v>
      </c>
      <c r="F58" s="52">
        <v>0.1183732</v>
      </c>
      <c r="G58" s="52">
        <v>4.5076600000000008E-2</v>
      </c>
      <c r="H58" s="52">
        <v>0.15444954999999999</v>
      </c>
      <c r="I58" s="52">
        <v>2.01513E-3</v>
      </c>
      <c r="J58" s="52">
        <v>0.20396800000000001</v>
      </c>
      <c r="K58" s="52">
        <v>0.10650851000000001</v>
      </c>
      <c r="L58" s="52">
        <v>5.6003499999999998E-2</v>
      </c>
      <c r="M58" s="52">
        <v>0.13223216999999998</v>
      </c>
      <c r="N58" s="52">
        <v>0.17196108000000002</v>
      </c>
      <c r="O58" s="162">
        <v>0.27058179000000004</v>
      </c>
      <c r="P58" s="34">
        <f>+SUM(D58:O58)</f>
        <v>1.4562348100000002</v>
      </c>
      <c r="R58" s="14"/>
      <c r="T58" s="34">
        <v>253.91077559999997</v>
      </c>
      <c r="W58" s="2"/>
    </row>
    <row r="59" spans="2:23" s="3" customFormat="1" ht="18" customHeight="1" thickTop="1" thickBot="1">
      <c r="B59" s="260"/>
      <c r="C59" s="29" t="s">
        <v>59</v>
      </c>
      <c r="D59" s="52">
        <v>3.634068E-2</v>
      </c>
      <c r="E59" s="52">
        <v>6.5780409999999997E-2</v>
      </c>
      <c r="F59" s="52">
        <v>0.24107444</v>
      </c>
      <c r="G59" s="52">
        <v>0.15539108000000001</v>
      </c>
      <c r="H59" s="52">
        <v>2.5058599999999999E-3</v>
      </c>
      <c r="I59" s="52">
        <v>1.3100000000000001E-4</v>
      </c>
      <c r="J59" s="52">
        <v>4.7791180000000003E-2</v>
      </c>
      <c r="K59" s="52">
        <v>2.3079E-4</v>
      </c>
      <c r="L59" s="52">
        <v>5.9580090000000002E-2</v>
      </c>
      <c r="M59" s="52">
        <v>7.4181799999999999E-3</v>
      </c>
      <c r="N59" s="52">
        <v>0.101924</v>
      </c>
      <c r="O59" s="162">
        <v>1.9633999999999999E-2</v>
      </c>
      <c r="P59" s="34">
        <f>+SUM(D59:O59)</f>
        <v>0.73780171000000017</v>
      </c>
      <c r="R59" s="14"/>
      <c r="T59" s="34">
        <v>180.18007032999998</v>
      </c>
      <c r="W59" s="2"/>
    </row>
    <row r="60" spans="2:23" s="3" customFormat="1" ht="18" customHeight="1" thickTop="1" thickBot="1">
      <c r="B60" s="260"/>
      <c r="C60" s="29" t="s">
        <v>60</v>
      </c>
      <c r="D60" s="52">
        <v>4.7561279999999997E-2</v>
      </c>
      <c r="E60" s="52">
        <v>4.5999999999999999E-3</v>
      </c>
      <c r="F60" s="52">
        <v>3.6273E-3</v>
      </c>
      <c r="G60" s="52">
        <v>1.78673E-3</v>
      </c>
      <c r="H60" s="52">
        <v>6.7000000000000002E-4</v>
      </c>
      <c r="I60" s="52">
        <v>2.1599999999999999E-4</v>
      </c>
      <c r="J60" s="52">
        <v>2.3874720000000002E-2</v>
      </c>
      <c r="K60" s="52">
        <v>7.4011899999999993E-3</v>
      </c>
      <c r="L60" s="52">
        <v>0.92704249999999999</v>
      </c>
      <c r="M60" s="52">
        <v>0.16809754000000002</v>
      </c>
      <c r="N60" s="52">
        <v>9.9627999999999994E-2</v>
      </c>
      <c r="O60" s="162">
        <v>0.74109979000000004</v>
      </c>
      <c r="P60" s="34">
        <f>+SUM(D60:O60)</f>
        <v>2.0256050500000002</v>
      </c>
      <c r="R60" s="14"/>
      <c r="T60" s="34">
        <v>10.698974360000001</v>
      </c>
      <c r="W60" s="2"/>
    </row>
    <row r="61" spans="2:23" s="3" customFormat="1" ht="18" customHeight="1" thickTop="1" thickBot="1">
      <c r="B61" s="260"/>
      <c r="C61" s="29" t="s">
        <v>139</v>
      </c>
      <c r="D61" s="52">
        <f t="shared" ref="D61:P61" si="23">+D58+D59+D60</f>
        <v>0.15215109999999998</v>
      </c>
      <c r="E61" s="52">
        <f t="shared" si="23"/>
        <v>0.19719654999999997</v>
      </c>
      <c r="F61" s="52">
        <f t="shared" si="23"/>
        <v>0.36307494000000001</v>
      </c>
      <c r="G61" s="52">
        <f t="shared" si="23"/>
        <v>0.20225441000000002</v>
      </c>
      <c r="H61" s="52">
        <f t="shared" si="23"/>
        <v>0.15762540999999999</v>
      </c>
      <c r="I61" s="52">
        <f t="shared" si="23"/>
        <v>2.36213E-3</v>
      </c>
      <c r="J61" s="52">
        <f t="shared" si="23"/>
        <v>0.27563390000000004</v>
      </c>
      <c r="K61" s="52">
        <f t="shared" si="23"/>
        <v>0.11414049000000001</v>
      </c>
      <c r="L61" s="52">
        <f t="shared" si="23"/>
        <v>1.0426260899999999</v>
      </c>
      <c r="M61" s="52">
        <f t="shared" si="23"/>
        <v>0.30774789000000002</v>
      </c>
      <c r="N61" s="52">
        <f t="shared" si="23"/>
        <v>0.37351308</v>
      </c>
      <c r="O61" s="162">
        <f t="shared" si="23"/>
        <v>1.03131558</v>
      </c>
      <c r="P61" s="34">
        <f t="shared" si="23"/>
        <v>4.2196415700000003</v>
      </c>
      <c r="R61" s="46">
        <f>P61-T61</f>
        <v>-440.57017871999994</v>
      </c>
      <c r="T61" s="34">
        <v>444.78982028999997</v>
      </c>
      <c r="W61" s="61">
        <f t="shared" ref="W61" si="24">+D61</f>
        <v>0.15215109999999998</v>
      </c>
    </row>
    <row r="62" spans="2:23" s="3" customFormat="1" ht="18" customHeight="1" thickTop="1" thickBot="1">
      <c r="B62" s="260"/>
      <c r="C62" s="32" t="s">
        <v>156</v>
      </c>
      <c r="D62" s="35">
        <f>+(D61-'Expo 2016'!D61)/'Expo 2016'!D61</f>
        <v>-0.11676840929544181</v>
      </c>
      <c r="E62" s="35">
        <f>+(E61-'Expo 2016'!E61)/'Expo 2016'!E61</f>
        <v>-0.48316117782709045</v>
      </c>
      <c r="F62" s="35">
        <f>+(F61-'Expo 2016'!F61)/'Expo 2016'!F61</f>
        <v>0.73243646956515518</v>
      </c>
      <c r="G62" s="35">
        <f>+(G61-'Expo 2016'!G61)/'Expo 2016'!G61</f>
        <v>0.71423092547550981</v>
      </c>
      <c r="H62" s="35">
        <f>+(H61-'Expo 2016'!H61)/'Expo 2016'!H61</f>
        <v>-0.53656632838032203</v>
      </c>
      <c r="I62" s="35">
        <f>+(I61-'Expo 2016'!I61)/'Expo 2016'!I61</f>
        <v>-0.98672533647621707</v>
      </c>
      <c r="J62" s="35">
        <f>+(J61-'Expo 2016'!J61)/'Expo 2016'!J61</f>
        <v>1.0051678372225124</v>
      </c>
      <c r="K62" s="35">
        <f>+(K61-'Expo 2016'!K61)/'Expo 2016'!K61</f>
        <v>-0.89548326849429083</v>
      </c>
      <c r="L62" s="35">
        <f>+(L61-'Expo 2016'!L61)/'Expo 2016'!L61</f>
        <v>4.0235857858918047</v>
      </c>
      <c r="M62" s="35">
        <f>+(M61-'Expo 2016'!M61)/'Expo 2016'!M61</f>
        <v>0.76237556913238325</v>
      </c>
      <c r="N62" s="35">
        <f>+(N61-'Expo 2016'!N61)/'Expo 2016'!N61</f>
        <v>1.0882941208108803</v>
      </c>
      <c r="O62" s="148">
        <f>+(O61-'Expo 2016'!O61)/'Expo 2016'!O61</f>
        <v>4.7457346100151998</v>
      </c>
      <c r="P62" s="35">
        <f>+(P61-'Expo 2016'!W61)/'Expo 2016'!W61</f>
        <v>0.25230553451566196</v>
      </c>
      <c r="R62" s="14"/>
      <c r="T62" s="35">
        <v>-0.16648128312344918</v>
      </c>
      <c r="W62" s="2"/>
    </row>
    <row r="63" spans="2:23" s="3" customFormat="1" ht="18" customHeight="1" thickTop="1" thickBot="1">
      <c r="B63" s="261" t="s">
        <v>6</v>
      </c>
      <c r="C63" s="29" t="s">
        <v>65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2.7028E-2</v>
      </c>
      <c r="N63" s="34">
        <v>9.0115000000000004E-3</v>
      </c>
      <c r="O63" s="147">
        <v>9.4309000000000005E-4</v>
      </c>
      <c r="P63" s="34">
        <f>+SUM(D63:O63)</f>
        <v>3.6982590000000003E-2</v>
      </c>
      <c r="R63" s="14"/>
      <c r="T63" s="34">
        <v>91.804413850000003</v>
      </c>
      <c r="W63" s="2"/>
    </row>
    <row r="64" spans="2:23" s="3" customFormat="1" ht="18" customHeight="1" thickTop="1" thickBot="1">
      <c r="B64" s="261"/>
      <c r="C64" s="29" t="s">
        <v>59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f>35/1000000</f>
        <v>3.4999999999999997E-5</v>
      </c>
      <c r="K64" s="34">
        <v>0</v>
      </c>
      <c r="L64" s="34">
        <v>0</v>
      </c>
      <c r="M64" s="34">
        <v>0</v>
      </c>
      <c r="N64" s="34">
        <v>2.49E-3</v>
      </c>
      <c r="O64" s="147">
        <v>2.4650000000000002E-3</v>
      </c>
      <c r="P64" s="34">
        <f>+SUM(D64:O64)</f>
        <v>4.9899999999999996E-3</v>
      </c>
      <c r="R64" s="14"/>
      <c r="T64" s="34">
        <v>208.51302938999999</v>
      </c>
      <c r="W64" s="2"/>
    </row>
    <row r="65" spans="2:23" s="3" customFormat="1" ht="18" customHeight="1" thickTop="1" thickBot="1">
      <c r="B65" s="261"/>
      <c r="C65" s="29" t="s">
        <v>60</v>
      </c>
      <c r="D65" s="30">
        <v>0</v>
      </c>
      <c r="E65" s="30">
        <v>0</v>
      </c>
      <c r="F65" s="34">
        <v>0</v>
      </c>
      <c r="G65" s="34">
        <f>2/1000000</f>
        <v>1.9999999999999999E-6</v>
      </c>
      <c r="H65" s="34">
        <v>0</v>
      </c>
      <c r="I65" s="34">
        <v>0</v>
      </c>
      <c r="J65" s="34">
        <v>0</v>
      </c>
      <c r="K65" s="30">
        <v>0</v>
      </c>
      <c r="L65" s="30">
        <v>0</v>
      </c>
      <c r="M65" s="30">
        <v>0</v>
      </c>
      <c r="N65" s="34">
        <v>0</v>
      </c>
      <c r="O65" s="147">
        <v>0</v>
      </c>
      <c r="P65" s="34">
        <f>+SUM(D65:O65)</f>
        <v>1.9999999999999999E-6</v>
      </c>
      <c r="R65" s="14"/>
      <c r="T65" s="34">
        <v>3.6882970299999998</v>
      </c>
      <c r="W65" s="2"/>
    </row>
    <row r="66" spans="2:23" s="3" customFormat="1" ht="18" customHeight="1" thickTop="1" thickBot="1">
      <c r="B66" s="261"/>
      <c r="C66" s="29" t="s">
        <v>139</v>
      </c>
      <c r="D66" s="52">
        <f t="shared" ref="D66:P66" si="25">+D63+D64+D65</f>
        <v>0</v>
      </c>
      <c r="E66" s="52">
        <f t="shared" si="25"/>
        <v>0</v>
      </c>
      <c r="F66" s="52">
        <f t="shared" si="25"/>
        <v>0</v>
      </c>
      <c r="G66" s="52">
        <f t="shared" si="25"/>
        <v>1.9999999999999999E-6</v>
      </c>
      <c r="H66" s="52">
        <f t="shared" si="25"/>
        <v>0</v>
      </c>
      <c r="I66" s="52">
        <f t="shared" si="25"/>
        <v>0</v>
      </c>
      <c r="J66" s="52">
        <f t="shared" si="25"/>
        <v>3.4999999999999997E-5</v>
      </c>
      <c r="K66" s="52">
        <f t="shared" si="25"/>
        <v>0</v>
      </c>
      <c r="L66" s="52">
        <f t="shared" si="25"/>
        <v>0</v>
      </c>
      <c r="M66" s="52">
        <f t="shared" si="25"/>
        <v>2.7028E-2</v>
      </c>
      <c r="N66" s="52">
        <f t="shared" si="25"/>
        <v>1.1501500000000001E-2</v>
      </c>
      <c r="O66" s="162">
        <f t="shared" si="25"/>
        <v>3.4080900000000003E-3</v>
      </c>
      <c r="P66" s="34">
        <f t="shared" si="25"/>
        <v>4.1974590000000006E-2</v>
      </c>
      <c r="R66" s="46">
        <f>P66-T66</f>
        <v>-303.96376567999999</v>
      </c>
      <c r="T66" s="34">
        <v>304.00574026999999</v>
      </c>
      <c r="W66" s="61">
        <f t="shared" ref="W66" si="26">+D66</f>
        <v>0</v>
      </c>
    </row>
    <row r="67" spans="2:23" s="3" customFormat="1" ht="18" customHeight="1" thickTop="1" thickBot="1">
      <c r="B67" s="261"/>
      <c r="C67" s="32" t="s">
        <v>156</v>
      </c>
      <c r="D67" s="35">
        <f>IFERROR((D66-'Expo 2016'!D66)/'Expo 2016'!D66,0)</f>
        <v>0</v>
      </c>
      <c r="E67" s="35">
        <f>IFERROR((E66-'Expo 2016'!E66)/'Expo 2016'!E66,0)</f>
        <v>-1</v>
      </c>
      <c r="F67" s="35">
        <f>IFERROR((F66-'Expo 2016'!F66)/'Expo 2016'!F66,0)</f>
        <v>0</v>
      </c>
      <c r="G67" s="35">
        <f>IFERROR((G66-'Expo 2016'!G66)/'Expo 2016'!G66,0)</f>
        <v>0</v>
      </c>
      <c r="H67" s="35">
        <f>IFERROR((H66-'Expo 2016'!H66)/'Expo 2016'!H66,0)</f>
        <v>0</v>
      </c>
      <c r="I67" s="35">
        <f>IFERROR((I66-'Expo 2016'!I66)/'Expo 2016'!I66,0)</f>
        <v>0</v>
      </c>
      <c r="J67" s="35">
        <f>IFERROR((J66-'Expo 2016'!J66)/'Expo 2016'!J66,0)</f>
        <v>0</v>
      </c>
      <c r="K67" s="35">
        <f>IFERROR((K66-'Expo 2016'!K66)/'Expo 2016'!K66,0)</f>
        <v>0</v>
      </c>
      <c r="L67" s="35">
        <f>IFERROR((L66-'Expo 2016'!L66)/'Expo 2016'!L66,0)</f>
        <v>0</v>
      </c>
      <c r="M67" s="35">
        <f>IFERROR((M66-'Expo 2016'!M66)/'Expo 2016'!M66,0)</f>
        <v>0</v>
      </c>
      <c r="N67" s="35">
        <f>IFERROR((N66-'Expo 2016'!N66)/'Expo 2016'!N66,0)</f>
        <v>0</v>
      </c>
      <c r="O67" s="148">
        <f>IFERROR((O66-'Expo 2016'!O66)/'Expo 2016'!O66,0)</f>
        <v>0</v>
      </c>
      <c r="P67" s="35">
        <f>IFERROR((P66-'Expo 2016'!P66)/'Expo 2016'!P66,0)</f>
        <v>0.58394679245283043</v>
      </c>
      <c r="R67" s="14"/>
      <c r="T67" s="35">
        <v>5.7815418874585633E-2</v>
      </c>
      <c r="W67" s="2"/>
    </row>
    <row r="68" spans="2:23" s="3" customFormat="1" ht="18" customHeight="1" thickTop="1" thickBot="1">
      <c r="B68" s="261" t="s">
        <v>44</v>
      </c>
      <c r="C68" s="29" t="s">
        <v>65</v>
      </c>
      <c r="D68" s="34">
        <v>20.480981231483049</v>
      </c>
      <c r="E68" s="34">
        <v>20.480981231483049</v>
      </c>
      <c r="F68" s="34">
        <v>20.480981231483049</v>
      </c>
      <c r="G68" s="34">
        <v>22.232674206354854</v>
      </c>
      <c r="H68" s="34">
        <v>22.232674206354854</v>
      </c>
      <c r="I68" s="34">
        <v>22.232674206354854</v>
      </c>
      <c r="J68" s="34">
        <v>16.455911760952834</v>
      </c>
      <c r="K68" s="171">
        <v>16.455911760952834</v>
      </c>
      <c r="L68" s="171">
        <v>16.455911760952834</v>
      </c>
      <c r="M68" s="34">
        <v>17.841511037027022</v>
      </c>
      <c r="N68" s="34">
        <v>17.841511037027022</v>
      </c>
      <c r="O68" s="34">
        <v>17.841511037027022</v>
      </c>
      <c r="P68" s="34">
        <f>+SUM(D68:O68)</f>
        <v>231.03323470745329</v>
      </c>
      <c r="R68" s="14"/>
      <c r="S68" s="44"/>
      <c r="T68" s="34">
        <v>695.62907664000045</v>
      </c>
      <c r="W68" s="2"/>
    </row>
    <row r="69" spans="2:23" s="3" customFormat="1" ht="18" customHeight="1" thickTop="1" thickBot="1">
      <c r="B69" s="261"/>
      <c r="C69" s="29" t="s">
        <v>59</v>
      </c>
      <c r="D69" s="52">
        <v>0.30804773874647773</v>
      </c>
      <c r="E69" s="52">
        <v>0.30804773874647773</v>
      </c>
      <c r="F69" s="52">
        <v>0.30804773874647773</v>
      </c>
      <c r="G69" s="52">
        <v>0.33439437974910108</v>
      </c>
      <c r="H69" s="52">
        <v>0.33439437974910108</v>
      </c>
      <c r="I69" s="52">
        <v>0.33439437974910108</v>
      </c>
      <c r="J69" s="52">
        <v>0.24750798556373763</v>
      </c>
      <c r="K69" s="52">
        <v>0.24750798556373763</v>
      </c>
      <c r="L69" s="52">
        <v>0.24750798556373763</v>
      </c>
      <c r="M69" s="52">
        <v>0.26834833100320776</v>
      </c>
      <c r="N69" s="52">
        <v>0.26834833100320776</v>
      </c>
      <c r="O69" s="52">
        <v>0.26834833100320776</v>
      </c>
      <c r="P69" s="34">
        <f>+SUM(D69:O69)</f>
        <v>3.4748953051875722</v>
      </c>
      <c r="R69" s="14"/>
      <c r="S69" s="44"/>
      <c r="T69" s="34">
        <v>819.99893523000014</v>
      </c>
      <c r="W69" s="2"/>
    </row>
    <row r="70" spans="2:23" s="3" customFormat="1" ht="18" customHeight="1" thickTop="1" thickBot="1">
      <c r="B70" s="261"/>
      <c r="C70" s="29" t="s">
        <v>60</v>
      </c>
      <c r="D70" s="52">
        <v>9.6971029770469799E-2</v>
      </c>
      <c r="E70" s="52">
        <v>9.6971029770469799E-2</v>
      </c>
      <c r="F70" s="52">
        <v>9.6971029770469799E-2</v>
      </c>
      <c r="G70" s="52">
        <v>0.10526474722937285</v>
      </c>
      <c r="H70" s="52">
        <v>0.10526474722937285</v>
      </c>
      <c r="I70" s="52">
        <v>0.10526474722937285</v>
      </c>
      <c r="J70" s="52">
        <v>7.7913586816759722E-2</v>
      </c>
      <c r="K70" s="52">
        <v>7.7913586816759722E-2</v>
      </c>
      <c r="L70" s="52">
        <v>7.7913586816759722E-2</v>
      </c>
      <c r="M70" s="52">
        <v>8.4473965303098614E-2</v>
      </c>
      <c r="N70" s="52">
        <v>8.4473965303098614E-2</v>
      </c>
      <c r="O70" s="52">
        <v>8.4473965303098614E-2</v>
      </c>
      <c r="P70" s="34">
        <f>+SUM(D70:O70)</f>
        <v>1.0938699873591029</v>
      </c>
      <c r="R70" s="14"/>
      <c r="S70" s="44"/>
      <c r="T70" s="34">
        <v>57.773269370000001</v>
      </c>
      <c r="W70" s="2"/>
    </row>
    <row r="71" spans="2:23" s="3" customFormat="1" ht="18" customHeight="1" thickTop="1" thickBot="1">
      <c r="B71" s="261"/>
      <c r="C71" s="29" t="s">
        <v>139</v>
      </c>
      <c r="D71" s="52">
        <f t="shared" ref="D71:P71" si="27">+D68+D69+D70</f>
        <v>20.885999999999996</v>
      </c>
      <c r="E71" s="52">
        <f t="shared" si="27"/>
        <v>20.885999999999996</v>
      </c>
      <c r="F71" s="52">
        <f t="shared" si="27"/>
        <v>20.885999999999996</v>
      </c>
      <c r="G71" s="52">
        <f t="shared" si="27"/>
        <v>22.672333333333327</v>
      </c>
      <c r="H71" s="52">
        <f t="shared" si="27"/>
        <v>22.672333333333327</v>
      </c>
      <c r="I71" s="52">
        <f t="shared" si="27"/>
        <v>22.672333333333327</v>
      </c>
      <c r="J71" s="52">
        <f t="shared" si="27"/>
        <v>16.781333333333329</v>
      </c>
      <c r="K71" s="52">
        <f t="shared" si="27"/>
        <v>16.781333333333329</v>
      </c>
      <c r="L71" s="52">
        <f t="shared" si="27"/>
        <v>16.781333333333329</v>
      </c>
      <c r="M71" s="52">
        <f t="shared" si="27"/>
        <v>18.194333333333326</v>
      </c>
      <c r="N71" s="52">
        <f t="shared" si="27"/>
        <v>18.194333333333326</v>
      </c>
      <c r="O71" s="52">
        <f t="shared" si="27"/>
        <v>18.194333333333326</v>
      </c>
      <c r="P71" s="34">
        <f t="shared" si="27"/>
        <v>235.60199999999998</v>
      </c>
      <c r="R71" s="46">
        <f>P71-T71</f>
        <v>-1337.7992812400007</v>
      </c>
      <c r="T71" s="34">
        <v>1573.4012812400006</v>
      </c>
      <c r="W71" s="61">
        <f t="shared" ref="W71" si="28">+D71</f>
        <v>20.885999999999996</v>
      </c>
    </row>
    <row r="72" spans="2:23" s="3" customFormat="1" ht="18" customHeight="1" thickTop="1" thickBot="1">
      <c r="B72" s="261"/>
      <c r="C72" s="32" t="s">
        <v>156</v>
      </c>
      <c r="D72" s="35">
        <f>+(D71-'Expo 2016'!D71)/'Expo 2016'!D71</f>
        <v>1.0658148125088043</v>
      </c>
      <c r="E72" s="35">
        <f>+(E71-'Expo 2016'!E71)/'Expo 2016'!E71</f>
        <v>0.66880569188057126</v>
      </c>
      <c r="F72" s="35">
        <f>+(F71-'Expo 2016'!F71)/'Expo 2016'!F71</f>
        <v>0.18210414203354178</v>
      </c>
      <c r="G72" s="35">
        <f>+(G71-'Expo 2016'!G71)/'Expo 2016'!G71</f>
        <v>0.37449895065430872</v>
      </c>
      <c r="H72" s="35">
        <f>+(H71-'Expo 2016'!H71)/'Expo 2016'!H71</f>
        <v>0.57393885297423697</v>
      </c>
      <c r="I72" s="35">
        <f>+(I71-'Expo 2016'!I71)/'Expo 2016'!I71</f>
        <v>-0.38867113497384342</v>
      </c>
      <c r="J72" s="35">
        <f>+(J71-'Expo 2016'!J71)/'Expo 2016'!J71</f>
        <v>0.57634201555299558</v>
      </c>
      <c r="K72" s="35">
        <f>+(K71-'Expo 2016'!K71)/'Expo 2016'!K71</f>
        <v>-0.3784958639331209</v>
      </c>
      <c r="L72" s="35">
        <f>+(L71-'Expo 2016'!L71)/'Expo 2016'!L71</f>
        <v>0.264603172745427</v>
      </c>
      <c r="M72" s="35">
        <f>+(M71-'Expo 2016'!M71)/'Expo 2016'!M71</f>
        <v>-0.1413415950974303</v>
      </c>
      <c r="N72" s="35">
        <f>+(N71-'Expo 2016'!N71)/'Expo 2016'!N71</f>
        <v>0.7860856268703359</v>
      </c>
      <c r="O72" s="35">
        <f>+(O71-'Expo 2016'!O71)/'Expo 2016'!O71</f>
        <v>0.49445464141942924</v>
      </c>
      <c r="P72" s="35">
        <f>+(P71-'Expo 2016'!W71)/'Expo 2016'!W71</f>
        <v>0.16204016779071856</v>
      </c>
      <c r="R72" s="14"/>
      <c r="T72" s="35">
        <v>-0.10108337351088204</v>
      </c>
      <c r="W72" s="2"/>
    </row>
    <row r="73" spans="2:23" s="3" customFormat="1" ht="18" customHeight="1" thickTop="1" thickBot="1">
      <c r="B73" s="261" t="s">
        <v>7</v>
      </c>
      <c r="C73" s="29" t="s">
        <v>65</v>
      </c>
      <c r="D73" s="34">
        <v>5.7490999999999998E-4</v>
      </c>
      <c r="E73" s="34">
        <v>1.1099299999999999E-3</v>
      </c>
      <c r="F73" s="34">
        <v>1.3740000000000001E-4</v>
      </c>
      <c r="G73" s="34">
        <v>2.8648000000000004E-4</v>
      </c>
      <c r="H73" s="34"/>
      <c r="I73" s="34">
        <v>7.0074000000000004E-4</v>
      </c>
      <c r="J73" s="34">
        <v>5.0157000000000001E-4</v>
      </c>
      <c r="K73" s="34">
        <v>1.194E-3</v>
      </c>
      <c r="L73" s="34">
        <v>2.6800000000000001E-4</v>
      </c>
      <c r="M73" s="34">
        <v>1.295E-5</v>
      </c>
      <c r="N73" s="34">
        <v>9.5724000000000004E-4</v>
      </c>
      <c r="O73" s="147">
        <v>3.9149999999999996E-5</v>
      </c>
      <c r="P73" s="34">
        <f>+SUM(D73:O73)</f>
        <v>5.7823700000000002E-3</v>
      </c>
      <c r="R73" s="14"/>
      <c r="T73" s="34">
        <v>38.654310619999997</v>
      </c>
      <c r="W73" s="2"/>
    </row>
    <row r="74" spans="2:23" s="3" customFormat="1" ht="18" customHeight="1" thickTop="1" thickBot="1">
      <c r="B74" s="261"/>
      <c r="C74" s="29" t="s">
        <v>59</v>
      </c>
      <c r="D74" s="34">
        <v>1.8400000000000002E-6</v>
      </c>
      <c r="E74" s="34">
        <v>1.2446E-3</v>
      </c>
      <c r="F74" s="34">
        <v>2.2443599999999999E-3</v>
      </c>
      <c r="G74" s="34">
        <v>1.0210000000000001E-5</v>
      </c>
      <c r="H74" s="34">
        <v>8.0408999999999993E-4</v>
      </c>
      <c r="I74" s="34">
        <v>1.2617E-2</v>
      </c>
      <c r="J74" s="34">
        <v>4.6673E-4</v>
      </c>
      <c r="K74" s="34">
        <v>0</v>
      </c>
      <c r="L74" s="34">
        <v>1.1260999999999999E-4</v>
      </c>
      <c r="M74" s="34">
        <v>9.3987000000000001E-2</v>
      </c>
      <c r="N74" s="34">
        <v>5.9057799999999994E-3</v>
      </c>
      <c r="O74" s="147">
        <v>2.9717E-2</v>
      </c>
      <c r="P74" s="34">
        <f t="shared" ref="P74:P80" si="29">+SUM(D74:O74)</f>
        <v>0.14711121999999999</v>
      </c>
      <c r="R74" s="14"/>
      <c r="T74" s="34">
        <v>97.031862140000001</v>
      </c>
      <c r="W74" s="2"/>
    </row>
    <row r="75" spans="2:23" s="3" customFormat="1" ht="18" customHeight="1" thickTop="1" thickBot="1">
      <c r="B75" s="261"/>
      <c r="C75" s="29" t="s">
        <v>60</v>
      </c>
      <c r="D75" s="34">
        <v>0</v>
      </c>
      <c r="E75" s="34">
        <v>0</v>
      </c>
      <c r="F75" s="34">
        <v>1E-4</v>
      </c>
      <c r="G75" s="34">
        <v>0</v>
      </c>
      <c r="H75" s="34">
        <v>0</v>
      </c>
      <c r="I75" s="34">
        <v>0</v>
      </c>
      <c r="J75" s="34">
        <v>2E-3</v>
      </c>
      <c r="K75" s="34">
        <v>9.4600000000000009E-6</v>
      </c>
      <c r="L75" s="34">
        <f>16.18/1000000</f>
        <v>1.6180000000000001E-5</v>
      </c>
      <c r="M75" s="34">
        <v>0</v>
      </c>
      <c r="N75" s="34">
        <v>0</v>
      </c>
      <c r="O75" s="147">
        <v>0</v>
      </c>
      <c r="P75" s="34">
        <f t="shared" si="29"/>
        <v>2.1256400000000003E-3</v>
      </c>
      <c r="R75" s="14"/>
      <c r="T75" s="34">
        <v>1.7412648000000002</v>
      </c>
      <c r="W75" s="2"/>
    </row>
    <row r="76" spans="2:23" s="3" customFormat="1" ht="18" customHeight="1" thickTop="1" thickBot="1">
      <c r="B76" s="261"/>
      <c r="C76" s="29" t="s">
        <v>139</v>
      </c>
      <c r="D76" s="52">
        <f>+D73+D74+D75</f>
        <v>5.7675000000000001E-4</v>
      </c>
      <c r="E76" s="52">
        <f>+E73+E74+E75</f>
        <v>2.3545299999999996E-3</v>
      </c>
      <c r="F76" s="52">
        <f>+F73+F74+F75</f>
        <v>2.48176E-3</v>
      </c>
      <c r="G76" s="52">
        <v>0</v>
      </c>
      <c r="H76" s="52">
        <f t="shared" ref="H76:P76" si="30">+H73+H74+H75</f>
        <v>8.0408999999999993E-4</v>
      </c>
      <c r="I76" s="52">
        <f t="shared" si="30"/>
        <v>1.331774E-2</v>
      </c>
      <c r="J76" s="52">
        <f t="shared" si="30"/>
        <v>2.9683000000000001E-3</v>
      </c>
      <c r="K76" s="52">
        <f t="shared" si="30"/>
        <v>1.2034599999999999E-3</v>
      </c>
      <c r="L76" s="52">
        <f t="shared" si="30"/>
        <v>3.9679E-4</v>
      </c>
      <c r="M76" s="52">
        <f t="shared" si="30"/>
        <v>9.3999949999999999E-2</v>
      </c>
      <c r="N76" s="52">
        <f t="shared" si="30"/>
        <v>6.8630199999999992E-3</v>
      </c>
      <c r="O76" s="162">
        <f t="shared" si="30"/>
        <v>2.9756150000000002E-2</v>
      </c>
      <c r="P76" s="34">
        <f t="shared" si="30"/>
        <v>0.15501923000000001</v>
      </c>
      <c r="R76" s="46">
        <f>P76-T76</f>
        <v>-137.27241833000002</v>
      </c>
      <c r="T76" s="34">
        <v>137.42743756000002</v>
      </c>
      <c r="W76" s="61">
        <f t="shared" ref="W76" si="31">+D76</f>
        <v>5.7675000000000001E-4</v>
      </c>
    </row>
    <row r="77" spans="2:23" s="3" customFormat="1" ht="18" customHeight="1" thickTop="1" thickBot="1">
      <c r="B77" s="261"/>
      <c r="C77" s="32" t="s">
        <v>156</v>
      </c>
      <c r="D77" s="35">
        <f>IFERROR((D76-'Expo 2016'!D76)/'Expo 2016'!D76,0)</f>
        <v>0</v>
      </c>
      <c r="E77" s="35">
        <f>IFERROR((E76-'Expo 2016'!E76)/'Expo 2016'!E76,0)</f>
        <v>0</v>
      </c>
      <c r="F77" s="35">
        <f>IFERROR((F76-'Expo 2016'!F76)/'Expo 2016'!F76,0)</f>
        <v>0</v>
      </c>
      <c r="G77" s="35">
        <f>IFERROR((G76-'Expo 2016'!G76)/'Expo 2016'!G76,0)</f>
        <v>0</v>
      </c>
      <c r="H77" s="35">
        <f>IFERROR((H76-'Expo 2016'!H76)/'Expo 2016'!H76,0)</f>
        <v>0</v>
      </c>
      <c r="I77" s="35">
        <f>IFERROR((I76-'Expo 2016'!I76)/'Expo 2016'!I76,0)</f>
        <v>0</v>
      </c>
      <c r="J77" s="35">
        <f>IFERROR((J76-'Expo 2016'!J76)/'Expo 2016'!J76,0)</f>
        <v>0</v>
      </c>
      <c r="K77" s="35">
        <f>IFERROR((K76-'Expo 2016'!K76)/'Expo 2016'!K76,0)</f>
        <v>0</v>
      </c>
      <c r="L77" s="35">
        <f>IFERROR((L76-'Expo 2016'!L76)/'Expo 2016'!L76,0)</f>
        <v>0</v>
      </c>
      <c r="M77" s="35">
        <f>IFERROR((M76-'Expo 2016'!M76)/'Expo 2016'!M76,0)</f>
        <v>0</v>
      </c>
      <c r="N77" s="35">
        <f>IFERROR((N76-'Expo 2016'!N76)/'Expo 2016'!N76,0)</f>
        <v>0</v>
      </c>
      <c r="O77" s="148">
        <f>IFERROR((O76-'Expo 2016'!O76)/'Expo 2016'!O76,0)</f>
        <v>0</v>
      </c>
      <c r="P77" s="35">
        <f>IFERROR((P76-'Expo 2016'!P76)/'Expo 2016'!P76,0)</f>
        <v>0</v>
      </c>
      <c r="R77" s="14"/>
      <c r="T77" s="35">
        <v>0.12164036961741002</v>
      </c>
      <c r="W77" s="2"/>
    </row>
    <row r="78" spans="2:23" s="3" customFormat="1" ht="18" customHeight="1" thickTop="1" thickBot="1">
      <c r="B78" s="261" t="s">
        <v>3</v>
      </c>
      <c r="C78" s="29" t="s">
        <v>65</v>
      </c>
      <c r="D78" s="30">
        <v>0</v>
      </c>
      <c r="E78" s="34">
        <v>0.11992899999999999</v>
      </c>
      <c r="F78" s="30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0">
        <v>0</v>
      </c>
      <c r="M78" s="30">
        <v>0</v>
      </c>
      <c r="N78" s="30">
        <v>0</v>
      </c>
      <c r="O78" s="159">
        <v>0</v>
      </c>
      <c r="P78" s="34">
        <f>+SUM(D78:O78)</f>
        <v>0.11992899999999999</v>
      </c>
      <c r="Q78" s="2"/>
      <c r="R78" s="14"/>
      <c r="S78" s="2"/>
      <c r="T78" s="34">
        <v>21.622355000000002</v>
      </c>
      <c r="U78" s="2"/>
      <c r="W78" s="2"/>
    </row>
    <row r="79" spans="2:23" s="3" customFormat="1" ht="18" customHeight="1" thickTop="1" thickBot="1">
      <c r="B79" s="261"/>
      <c r="C79" s="29" t="s">
        <v>59</v>
      </c>
      <c r="D79" s="30">
        <v>0</v>
      </c>
      <c r="E79" s="30">
        <v>0</v>
      </c>
      <c r="F79" s="30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0.14208999999999999</v>
      </c>
      <c r="L79" s="34">
        <v>0</v>
      </c>
      <c r="M79" s="30">
        <v>0</v>
      </c>
      <c r="N79" s="171">
        <v>0.17901</v>
      </c>
      <c r="O79" s="147">
        <v>2.4760000000000001E-2</v>
      </c>
      <c r="P79" s="34">
        <f t="shared" si="29"/>
        <v>0.34586</v>
      </c>
      <c r="Q79" s="2"/>
      <c r="R79" s="14"/>
      <c r="S79" s="2"/>
      <c r="T79" s="34">
        <v>26.302518000000003</v>
      </c>
      <c r="U79" s="2"/>
      <c r="W79" s="2"/>
    </row>
    <row r="80" spans="2:23" s="3" customFormat="1" ht="18" customHeight="1" thickTop="1" thickBot="1">
      <c r="B80" s="261"/>
      <c r="C80" s="29" t="s">
        <v>60</v>
      </c>
      <c r="D80" s="30">
        <v>0</v>
      </c>
      <c r="E80" s="30">
        <v>0</v>
      </c>
      <c r="F80" s="30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0">
        <v>0</v>
      </c>
      <c r="M80" s="30">
        <v>0</v>
      </c>
      <c r="N80" s="30">
        <v>0</v>
      </c>
      <c r="O80" s="159">
        <v>0</v>
      </c>
      <c r="P80" s="34">
        <f t="shared" si="29"/>
        <v>0</v>
      </c>
      <c r="Q80" s="2"/>
      <c r="R80" s="14"/>
      <c r="S80" s="2"/>
      <c r="T80" s="34">
        <v>77.883131000000006</v>
      </c>
      <c r="U80" s="2"/>
      <c r="W80" s="2"/>
    </row>
    <row r="81" spans="2:23" s="3" customFormat="1" ht="18" customHeight="1" thickTop="1" thickBot="1">
      <c r="B81" s="261"/>
      <c r="C81" s="29" t="s">
        <v>139</v>
      </c>
      <c r="D81" s="52">
        <f t="shared" ref="D81:I81" si="32">+D78+D79+D80</f>
        <v>0</v>
      </c>
      <c r="E81" s="52">
        <f t="shared" si="32"/>
        <v>0.11992899999999999</v>
      </c>
      <c r="F81" s="52">
        <f t="shared" si="32"/>
        <v>0</v>
      </c>
      <c r="G81" s="52">
        <f t="shared" si="32"/>
        <v>0</v>
      </c>
      <c r="H81" s="52">
        <f t="shared" si="32"/>
        <v>0</v>
      </c>
      <c r="I81" s="52">
        <f t="shared" si="32"/>
        <v>0</v>
      </c>
      <c r="J81" s="52">
        <v>0</v>
      </c>
      <c r="K81" s="52">
        <f t="shared" ref="K81:P81" si="33">+K78+K79+K80</f>
        <v>0.14208999999999999</v>
      </c>
      <c r="L81" s="53">
        <f t="shared" si="33"/>
        <v>0</v>
      </c>
      <c r="M81" s="53">
        <f t="shared" si="33"/>
        <v>0</v>
      </c>
      <c r="N81" s="53">
        <f t="shared" si="33"/>
        <v>0.17901</v>
      </c>
      <c r="O81" s="160">
        <f t="shared" si="33"/>
        <v>2.4760000000000001E-2</v>
      </c>
      <c r="P81" s="34">
        <f t="shared" si="33"/>
        <v>0.46578900000000001</v>
      </c>
      <c r="Q81" s="2"/>
      <c r="R81" s="46">
        <f>P81-T81</f>
        <v>-125.34221500000001</v>
      </c>
      <c r="S81" s="2"/>
      <c r="T81" s="34">
        <v>125.80800400000001</v>
      </c>
      <c r="U81" s="2"/>
      <c r="W81" s="61">
        <f t="shared" ref="W81:W86" si="34">+D81</f>
        <v>0</v>
      </c>
    </row>
    <row r="82" spans="2:23" s="3" customFormat="1" ht="18" customHeight="1" thickTop="1" thickBot="1">
      <c r="B82" s="261"/>
      <c r="C82" s="32" t="s">
        <v>156</v>
      </c>
      <c r="D82" s="35">
        <f>IFERROR((D81-'Expo 2016'!D81)/'Expo 2016'!D81,0)</f>
        <v>-1</v>
      </c>
      <c r="E82" s="35">
        <f>IFERROR((E81-'Expo 2016'!E81)/'Expo 2016'!E81,0)</f>
        <v>-0.9961384799703028</v>
      </c>
      <c r="F82" s="35">
        <f>IFERROR((F81-'Expo 2016'!F81)/'Expo 2016'!F81,0)</f>
        <v>0</v>
      </c>
      <c r="G82" s="35">
        <f>IFERROR((G81-'Expo 2016'!G81)/'Expo 2016'!G81,0)</f>
        <v>0</v>
      </c>
      <c r="H82" s="35">
        <f>IFERROR((H81-'Expo 2016'!H81)/'Expo 2016'!H81,0)</f>
        <v>0</v>
      </c>
      <c r="I82" s="35">
        <f>IFERROR((I81-'Expo 2016'!I81)/'Expo 2016'!I81,0)</f>
        <v>0</v>
      </c>
      <c r="J82" s="35">
        <f>IFERROR((J81-'Expo 2016'!J81)/'Expo 2016'!J81,0)</f>
        <v>0</v>
      </c>
      <c r="K82" s="35">
        <f>IFERROR((K81-'Expo 2016'!K81)/'Expo 2016'!K81,0)</f>
        <v>0</v>
      </c>
      <c r="L82" s="35">
        <f>IFERROR((L81-'Expo 2016'!L81)/'Expo 2016'!L81,0)</f>
        <v>0</v>
      </c>
      <c r="M82" s="35">
        <f>IFERROR((M81-'Expo 2016'!M81)/'Expo 2016'!M81,0)</f>
        <v>0</v>
      </c>
      <c r="N82" s="37">
        <f>IFERROR((N81-'Expo 2016'!N81)/'Expo 2016'!N81,0)</f>
        <v>0</v>
      </c>
      <c r="O82" s="161">
        <f>IFERROR((O81-'Expo 2016'!O81)/'Expo 2016'!O81,0)</f>
        <v>-0.98868372943327232</v>
      </c>
      <c r="P82" s="35">
        <f>IFERROR((P81-'Expo 2016'!P81)/'Expo 2016'!P81,0)</f>
        <v>-0.98867987698055493</v>
      </c>
      <c r="Q82" s="2"/>
      <c r="R82" s="14"/>
      <c r="S82" s="2"/>
      <c r="T82" s="35">
        <v>-0.33538794218335954</v>
      </c>
      <c r="U82" s="2"/>
      <c r="W82" s="2"/>
    </row>
    <row r="83" spans="2:23" ht="18" customHeight="1" thickTop="1" thickBot="1">
      <c r="B83" s="261" t="s">
        <v>61</v>
      </c>
      <c r="C83" s="29" t="s">
        <v>65</v>
      </c>
      <c r="D83" s="34">
        <f>+D3+D8+D13+D18+D23+D28+D33+D38+D43+D48+D53+D58+D63+D68+D73+D78</f>
        <v>288.29847751648299</v>
      </c>
      <c r="E83" s="34">
        <f t="shared" ref="E83:P83" si="35">+E3+E8+E13+E18+E23+E28+E33+E38+E43+E48+E53+E58+E63+E68+E73+E78</f>
        <v>292.01796042728307</v>
      </c>
      <c r="F83" s="34">
        <f t="shared" si="35"/>
        <v>349.30457068968315</v>
      </c>
      <c r="G83" s="34">
        <f t="shared" si="35"/>
        <v>315.19750410625488</v>
      </c>
      <c r="H83" s="34">
        <f t="shared" si="35"/>
        <v>385.29524752935481</v>
      </c>
      <c r="I83" s="34">
        <f t="shared" si="35"/>
        <v>344.46115307135489</v>
      </c>
      <c r="J83" s="34">
        <f t="shared" si="35"/>
        <v>330.69885008285286</v>
      </c>
      <c r="K83" s="34">
        <f t="shared" si="35"/>
        <v>379.5730121260529</v>
      </c>
      <c r="L83" s="34">
        <f t="shared" si="35"/>
        <v>351.50832684775281</v>
      </c>
      <c r="M83" s="34">
        <f t="shared" si="35"/>
        <v>338.46224002762693</v>
      </c>
      <c r="N83" s="34">
        <f t="shared" si="35"/>
        <v>368.31866689312699</v>
      </c>
      <c r="O83" s="34">
        <f t="shared" si="35"/>
        <v>378.04120002002702</v>
      </c>
      <c r="P83" s="34">
        <f t="shared" si="35"/>
        <v>4121.177209337854</v>
      </c>
      <c r="Q83" s="5"/>
      <c r="R83" s="14"/>
      <c r="S83" s="72"/>
      <c r="T83" s="34">
        <v>5578.971446005934</v>
      </c>
      <c r="U83" s="3"/>
      <c r="V83" s="14"/>
      <c r="W83" s="61">
        <f t="shared" si="34"/>
        <v>288.29847751648299</v>
      </c>
    </row>
    <row r="84" spans="2:23" ht="18" customHeight="1" thickTop="1" thickBot="1">
      <c r="B84" s="261"/>
      <c r="C84" s="29" t="s">
        <v>59</v>
      </c>
      <c r="D84" s="34">
        <f t="shared" ref="D84:P85" si="36">+D4+D9+D14+D19+D24+D29+D34+D39+D44+D49+D54+D59+D64+D69+D74+D79</f>
        <v>442.16839340274652</v>
      </c>
      <c r="E84" s="34">
        <f t="shared" si="36"/>
        <v>327.20390541294648</v>
      </c>
      <c r="F84" s="34">
        <f t="shared" si="36"/>
        <v>400.53485711284651</v>
      </c>
      <c r="G84" s="34">
        <f t="shared" si="36"/>
        <v>320.04332882034907</v>
      </c>
      <c r="H84" s="34">
        <f t="shared" si="36"/>
        <v>457.57531258764908</v>
      </c>
      <c r="I84" s="34">
        <f t="shared" si="36"/>
        <v>465.89730204944902</v>
      </c>
      <c r="J84" s="34">
        <f t="shared" si="36"/>
        <v>345.24040574096369</v>
      </c>
      <c r="K84" s="34">
        <f t="shared" si="36"/>
        <v>508.84627795726379</v>
      </c>
      <c r="L84" s="34">
        <f t="shared" si="36"/>
        <v>465.57706057056367</v>
      </c>
      <c r="M84" s="34">
        <f t="shared" si="36"/>
        <v>484.98087640810326</v>
      </c>
      <c r="N84" s="34">
        <f t="shared" si="36"/>
        <v>465.87844716980322</v>
      </c>
      <c r="O84" s="34">
        <f t="shared" si="36"/>
        <v>529.88581685624877</v>
      </c>
      <c r="P84" s="34">
        <f t="shared" si="36"/>
        <v>5213.8319840889335</v>
      </c>
      <c r="Q84" s="5"/>
      <c r="R84" s="14"/>
      <c r="S84" s="72"/>
      <c r="T84" s="34">
        <v>14432.9779885919</v>
      </c>
      <c r="U84" s="3"/>
      <c r="V84" s="14"/>
      <c r="W84" s="61">
        <f t="shared" si="34"/>
        <v>442.16839340274652</v>
      </c>
    </row>
    <row r="85" spans="2:23" ht="18" customHeight="1" thickTop="1" thickBot="1">
      <c r="B85" s="261"/>
      <c r="C85" s="29" t="s">
        <v>60</v>
      </c>
      <c r="D85" s="34">
        <f t="shared" si="36"/>
        <v>109.24887724577049</v>
      </c>
      <c r="E85" s="34">
        <f t="shared" si="36"/>
        <v>114.09806195197048</v>
      </c>
      <c r="F85" s="34">
        <f t="shared" si="36"/>
        <v>101.42555711327047</v>
      </c>
      <c r="G85" s="34">
        <f t="shared" si="36"/>
        <v>101.30483080932937</v>
      </c>
      <c r="H85" s="34">
        <f t="shared" si="36"/>
        <v>93.239803413229382</v>
      </c>
      <c r="I85" s="34">
        <f t="shared" si="36"/>
        <v>113.39729068692935</v>
      </c>
      <c r="J85" s="34">
        <f t="shared" si="36"/>
        <v>111.75866052751677</v>
      </c>
      <c r="K85" s="34">
        <f t="shared" si="36"/>
        <v>86.46721874631676</v>
      </c>
      <c r="L85" s="34">
        <f t="shared" si="36"/>
        <v>108.95317176131678</v>
      </c>
      <c r="M85" s="34">
        <f t="shared" si="36"/>
        <v>102.23060747970314</v>
      </c>
      <c r="N85" s="34">
        <f t="shared" si="36"/>
        <v>114.58142846900307</v>
      </c>
      <c r="O85" s="34">
        <f t="shared" si="36"/>
        <v>130.93298845740304</v>
      </c>
      <c r="P85" s="34">
        <f t="shared" si="36"/>
        <v>1287.6384966617591</v>
      </c>
      <c r="Q85" s="5"/>
      <c r="R85" s="14"/>
      <c r="S85" s="72"/>
      <c r="T85" s="34">
        <v>548.49659046620002</v>
      </c>
      <c r="U85" s="3"/>
      <c r="V85" s="14"/>
      <c r="W85" s="61">
        <f t="shared" si="34"/>
        <v>109.24887724577049</v>
      </c>
    </row>
    <row r="86" spans="2:23" ht="18" customHeight="1" thickTop="1" thickBot="1">
      <c r="B86" s="261"/>
      <c r="C86" s="29" t="s">
        <v>139</v>
      </c>
      <c r="D86" s="34">
        <f>+D83+D84+D85</f>
        <v>839.71574816499992</v>
      </c>
      <c r="E86" s="34">
        <f t="shared" ref="E86:O86" si="37">+E83+E84+E85</f>
        <v>733.31992779220013</v>
      </c>
      <c r="F86" s="34">
        <f t="shared" si="37"/>
        <v>851.26498491580003</v>
      </c>
      <c r="G86" s="34">
        <f t="shared" si="37"/>
        <v>736.54566373593332</v>
      </c>
      <c r="H86" s="34">
        <f t="shared" si="37"/>
        <v>936.11036353023326</v>
      </c>
      <c r="I86" s="34">
        <f t="shared" si="37"/>
        <v>923.75574580773332</v>
      </c>
      <c r="J86" s="34">
        <f t="shared" si="37"/>
        <v>787.69791635133333</v>
      </c>
      <c r="K86" s="34">
        <f t="shared" si="37"/>
        <v>974.8865088296335</v>
      </c>
      <c r="L86" s="34">
        <f t="shared" si="37"/>
        <v>926.03855917963324</v>
      </c>
      <c r="M86" s="34">
        <f t="shared" si="37"/>
        <v>925.67372391543336</v>
      </c>
      <c r="N86" s="34">
        <f t="shared" si="37"/>
        <v>948.77854253193334</v>
      </c>
      <c r="O86" s="34">
        <f t="shared" si="37"/>
        <v>1038.8600053336788</v>
      </c>
      <c r="P86" s="34">
        <f>+P83+P84+P85</f>
        <v>10622.647690088546</v>
      </c>
      <c r="Q86" s="5"/>
      <c r="R86" s="46">
        <f>P86-T86</f>
        <v>-9937.7983349754868</v>
      </c>
      <c r="S86" s="72"/>
      <c r="T86" s="34">
        <v>20560.446025064033</v>
      </c>
      <c r="U86" s="3"/>
      <c r="V86" s="14"/>
      <c r="W86" s="61">
        <f t="shared" si="34"/>
        <v>839.71574816499992</v>
      </c>
    </row>
    <row r="87" spans="2:23" ht="18" customHeight="1" thickTop="1" thickBot="1">
      <c r="B87" s="261"/>
      <c r="C87" s="32" t="s">
        <v>156</v>
      </c>
      <c r="D87" s="35">
        <f>+(D86-'Expo 2016'!D86)/'Expo 2016'!D86</f>
        <v>0.23814248867720675</v>
      </c>
      <c r="E87" s="35">
        <f>+(E86-'Expo 2016'!E86)/'Expo 2016'!E86</f>
        <v>-5.6238821138630136E-2</v>
      </c>
      <c r="F87" s="35">
        <f>+(F86-'Expo 2016'!F86)/'Expo 2016'!F86</f>
        <v>1.8841599109611366E-2</v>
      </c>
      <c r="G87" s="35">
        <f>+(G86-'Expo 2016'!G86)/'Expo 2016'!G86</f>
        <v>-1.436854075505783E-2</v>
      </c>
      <c r="H87" s="35">
        <f>+(H86-'Expo 2016'!H86)/'Expo 2016'!H86</f>
        <v>0.35496090685519455</v>
      </c>
      <c r="I87" s="35">
        <f>+(I86-'Expo 2016'!I86)/'Expo 2016'!I86</f>
        <v>6.6835813408315889E-2</v>
      </c>
      <c r="J87" s="35">
        <f>+(J86-'Expo 2016'!J86)/'Expo 2016'!J86</f>
        <v>8.1525338092900246E-2</v>
      </c>
      <c r="K87" s="35">
        <f>+(K86-'Expo 2016'!K86)/'Expo 2016'!K86</f>
        <v>0.27222614886400237</v>
      </c>
      <c r="L87" s="35">
        <f>+(L86-'Expo 2016'!L86)/'Expo 2016'!L86</f>
        <v>5.4129171413057266E-2</v>
      </c>
      <c r="M87" s="35">
        <f>+(M86-'Expo 2016'!M86)/'Expo 2016'!M86</f>
        <v>0.45097242610479199</v>
      </c>
      <c r="N87" s="35">
        <f>+(N86-'Expo 2016'!N86)/'Expo 2016'!N86</f>
        <v>0.20473679152582164</v>
      </c>
      <c r="O87" s="35">
        <f>+(O86-'Expo 2016'!O86)/'Expo 2016'!O86</f>
        <v>0.28801965677384977</v>
      </c>
      <c r="P87" s="35">
        <f>+(P86-'Expo 2016'!W86)/'Expo 2016'!W86</f>
        <v>0.1546423917316691</v>
      </c>
      <c r="Q87" s="6"/>
      <c r="R87" s="14"/>
      <c r="T87" s="35">
        <v>4.0592121232775336E-2</v>
      </c>
    </row>
    <row r="88" spans="2:23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3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3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46">
        <f>+R90/'Impo 2016'!J94</f>
        <v>1.1575767118922029</v>
      </c>
      <c r="Q90" s="2"/>
      <c r="R90" s="146">
        <f>+R86-'Impo 2016'!J94</f>
        <v>-5331.7983349754868</v>
      </c>
      <c r="S90" s="2"/>
      <c r="T90" s="2"/>
      <c r="U90" s="2"/>
    </row>
    <row r="91" spans="2:23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3" ht="18" customHeight="1">
      <c r="B92" s="36" t="s">
        <v>92</v>
      </c>
    </row>
    <row r="93" spans="2:23">
      <c r="R93" s="36" t="s">
        <v>100</v>
      </c>
      <c r="T93" s="2">
        <v>-6481.6078749679991</v>
      </c>
    </row>
    <row r="94" spans="2:23">
      <c r="D94" s="14">
        <f>+P83/$P$86</f>
        <v>0.38796139433138832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T94" s="6">
        <f>+(R86-T93)/T93</f>
        <v>0.53323041545837901</v>
      </c>
    </row>
    <row r="95" spans="2:23">
      <c r="D95" s="14">
        <f>+P84/$P$86</f>
        <v>0.49082226354486891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23">
      <c r="D96" s="14">
        <f>+P85/$P$86</f>
        <v>0.12121634212374277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</sheetData>
  <mergeCells count="17">
    <mergeCell ref="B58:B6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1A00-000000000000}"/>
  </hyperlinks>
  <pageMargins left="0.7" right="0.7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W96"/>
  <sheetViews>
    <sheetView zoomScale="90" zoomScaleNormal="90" zoomScaleSheetLayoutView="90" workbookViewId="0">
      <pane xSplit="3" ySplit="2" topLeftCell="H63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6384" width="11.42578125" style="2"/>
  </cols>
  <sheetData>
    <row r="1" spans="2:23" s="8" customFormat="1" ht="38.25" customHeight="1" thickBot="1">
      <c r="B1" s="22" t="s">
        <v>82</v>
      </c>
      <c r="P1" s="87" t="s">
        <v>111</v>
      </c>
      <c r="T1" s="38" t="s">
        <v>172</v>
      </c>
    </row>
    <row r="2" spans="2:23" ht="30" customHeight="1" thickTop="1">
      <c r="B2" s="33" t="s">
        <v>36</v>
      </c>
      <c r="C2" s="21" t="s">
        <v>23</v>
      </c>
      <c r="D2" s="74" t="s">
        <v>27</v>
      </c>
      <c r="E2" s="74" t="s">
        <v>28</v>
      </c>
      <c r="F2" s="74" t="s">
        <v>26</v>
      </c>
      <c r="G2" s="74" t="s">
        <v>22</v>
      </c>
      <c r="H2" s="74" t="s">
        <v>29</v>
      </c>
      <c r="I2" s="74" t="s">
        <v>30</v>
      </c>
      <c r="J2" s="74" t="s">
        <v>31</v>
      </c>
      <c r="K2" s="74" t="s">
        <v>32</v>
      </c>
      <c r="L2" s="74" t="s">
        <v>33</v>
      </c>
      <c r="M2" s="74" t="s">
        <v>24</v>
      </c>
      <c r="N2" s="74" t="s">
        <v>34</v>
      </c>
      <c r="O2" s="74" t="s">
        <v>35</v>
      </c>
      <c r="P2" s="56" t="s">
        <v>25</v>
      </c>
      <c r="R2" s="36" t="s">
        <v>95</v>
      </c>
      <c r="T2" s="65" t="s">
        <v>94</v>
      </c>
      <c r="W2" s="36" t="s">
        <v>176</v>
      </c>
    </row>
    <row r="3" spans="2:23" ht="18" customHeight="1" thickBot="1">
      <c r="B3" s="259" t="s">
        <v>0</v>
      </c>
      <c r="C3" s="29" t="s">
        <v>65</v>
      </c>
      <c r="D3" s="34">
        <v>3.8971250300000002</v>
      </c>
      <c r="E3" s="34">
        <v>2.9126789199999998</v>
      </c>
      <c r="F3" s="34">
        <v>8.1170161299999997</v>
      </c>
      <c r="G3" s="34">
        <v>10.13998464</v>
      </c>
      <c r="H3" s="34">
        <v>8.8946236800000005</v>
      </c>
      <c r="I3" s="34">
        <v>4.3678364599999986</v>
      </c>
      <c r="J3" s="34">
        <v>5.0548097400000005</v>
      </c>
      <c r="K3" s="34">
        <v>4.7908488599999988</v>
      </c>
      <c r="L3" s="34">
        <v>5.5682381799999998</v>
      </c>
      <c r="M3" s="34">
        <v>6.2047475699999985</v>
      </c>
      <c r="N3" s="30">
        <v>5.5212782033333321</v>
      </c>
      <c r="O3" s="30">
        <v>5.7647546511111107</v>
      </c>
      <c r="P3" s="30">
        <f>+SUM(D3:O3)</f>
        <v>71.233942064444449</v>
      </c>
      <c r="R3" s="14"/>
      <c r="T3" s="52">
        <f>+SUM('Impo 2016'!D3:K3)</f>
        <v>121.15101462000001</v>
      </c>
      <c r="V3" s="12">
        <f>+AVERAGE(D3:E3)</f>
        <v>3.404901975</v>
      </c>
    </row>
    <row r="4" spans="2:23" ht="18" customHeight="1" thickTop="1" thickBot="1">
      <c r="B4" s="260"/>
      <c r="C4" s="29" t="s">
        <v>59</v>
      </c>
      <c r="D4" s="34">
        <v>5.5016865299999997</v>
      </c>
      <c r="E4" s="34">
        <v>2.3233701</v>
      </c>
      <c r="F4" s="34">
        <v>0.97197010000000017</v>
      </c>
      <c r="G4" s="34">
        <v>5.7118234300000008</v>
      </c>
      <c r="H4" s="34">
        <v>14.70039148</v>
      </c>
      <c r="I4" s="34">
        <v>20.093636629999999</v>
      </c>
      <c r="J4" s="34">
        <v>29.388470259999998</v>
      </c>
      <c r="K4" s="34">
        <v>7.3457929100000001</v>
      </c>
      <c r="L4" s="34">
        <v>18.467732419999997</v>
      </c>
      <c r="M4" s="34">
        <v>15.803955610000001</v>
      </c>
      <c r="N4" s="30">
        <v>13.872493646666667</v>
      </c>
      <c r="O4" s="30">
        <v>16.048060558888888</v>
      </c>
      <c r="P4" s="30">
        <f>+SUM(D4:O4)</f>
        <v>150.22938367555557</v>
      </c>
      <c r="R4" s="14"/>
      <c r="T4" s="52">
        <f>+SUM('Impo 2016'!D4:K4)</f>
        <v>267.37940882999999</v>
      </c>
      <c r="V4" s="12">
        <f>+AVERAGE(D4:E4)</f>
        <v>3.9125283149999999</v>
      </c>
    </row>
    <row r="5" spans="2:23" ht="18" customHeight="1" thickTop="1" thickBot="1">
      <c r="B5" s="260"/>
      <c r="C5" s="29" t="s">
        <v>60</v>
      </c>
      <c r="D5" s="34">
        <v>4.6315819400000002</v>
      </c>
      <c r="E5" s="34">
        <v>3.0406364800000003</v>
      </c>
      <c r="F5" s="34">
        <v>2.7399714599999996</v>
      </c>
      <c r="G5" s="34">
        <v>1.3756386100000002</v>
      </c>
      <c r="H5" s="34">
        <v>15.246328910000001</v>
      </c>
      <c r="I5" s="34">
        <v>21.060471629999999</v>
      </c>
      <c r="J5" s="34">
        <v>18.347142379999998</v>
      </c>
      <c r="K5" s="34">
        <v>23.46332718</v>
      </c>
      <c r="L5" s="34">
        <v>27.304717960000001</v>
      </c>
      <c r="M5" s="34">
        <v>11.713358400000001</v>
      </c>
      <c r="N5" s="30">
        <v>20.827134513333334</v>
      </c>
      <c r="O5" s="30">
        <v>19.948403624444445</v>
      </c>
      <c r="P5" s="30">
        <f>+SUM(D5:O5)</f>
        <v>169.69871308777778</v>
      </c>
      <c r="R5" s="14"/>
      <c r="T5" s="52">
        <f>+SUM('Impo 2016'!D5:K5)</f>
        <v>15.489083559999999</v>
      </c>
      <c r="V5" s="12">
        <f>+AVERAGE(D5:E5)</f>
        <v>3.83610921</v>
      </c>
    </row>
    <row r="6" spans="2:23" ht="18" customHeight="1" thickTop="1" thickBot="1">
      <c r="B6" s="260"/>
      <c r="C6" s="29" t="s">
        <v>139</v>
      </c>
      <c r="D6" s="52">
        <f>+D3+D4+D5</f>
        <v>14.030393500000001</v>
      </c>
      <c r="E6" s="52">
        <f>+E3+E4+E5</f>
        <v>8.2766854999999993</v>
      </c>
      <c r="F6" s="52">
        <f>+F3+F4+F5</f>
        <v>11.828957689999999</v>
      </c>
      <c r="G6" s="52">
        <f>+G3+G4+G5</f>
        <v>17.22744668</v>
      </c>
      <c r="H6" s="52">
        <f>+H3+H4+H5</f>
        <v>38.841344070000005</v>
      </c>
      <c r="I6" s="52">
        <f t="shared" ref="I6:O6" si="0">+I3+I4+I5</f>
        <v>45.521944719999993</v>
      </c>
      <c r="J6" s="52">
        <f t="shared" si="0"/>
        <v>52.790422379999995</v>
      </c>
      <c r="K6" s="52">
        <f>+K3+K4+K5</f>
        <v>35.599968949999997</v>
      </c>
      <c r="L6" s="52">
        <f t="shared" si="0"/>
        <v>51.340688560000004</v>
      </c>
      <c r="M6" s="52">
        <f t="shared" si="0"/>
        <v>33.722061580000002</v>
      </c>
      <c r="N6" s="53">
        <f t="shared" si="0"/>
        <v>40.220906363333334</v>
      </c>
      <c r="O6" s="53">
        <f t="shared" si="0"/>
        <v>41.761218834444449</v>
      </c>
      <c r="P6" s="30">
        <f>+P3+P4+P5</f>
        <v>391.16203882777779</v>
      </c>
      <c r="R6" s="46">
        <f>P6-T6</f>
        <v>-12.857468182222249</v>
      </c>
      <c r="T6" s="52">
        <f>+SUM('Impo 2016'!D6:K6)</f>
        <v>404.01950701000004</v>
      </c>
      <c r="W6" s="61">
        <f>+D6+E6+F6+G6+H6+I6+J6+K6+L6+M6+N6+O6</f>
        <v>391.16203882777774</v>
      </c>
    </row>
    <row r="7" spans="2:23" ht="18" customHeight="1" thickTop="1" thickBot="1">
      <c r="B7" s="260"/>
      <c r="C7" s="32" t="s">
        <v>81</v>
      </c>
      <c r="D7" s="35">
        <f>+(D6-'Expo 2015'!D6)/'Expo 2015'!D6</f>
        <v>-0.78763579620499824</v>
      </c>
      <c r="E7" s="35">
        <f>+(E6-'Expo 2015'!E6)/'Expo 2015'!E6</f>
        <v>-0.79928623190676384</v>
      </c>
      <c r="F7" s="35">
        <f>+(F6-'Expo 2015'!F6)/'Expo 2015'!F6</f>
        <v>-0.75904422987714593</v>
      </c>
      <c r="G7" s="35">
        <f>+(G6-'Expo 2015'!G6)/'Expo 2015'!G6</f>
        <v>-0.43200996855708568</v>
      </c>
      <c r="H7" s="35">
        <f>+(H6-'Expo 2015'!H6)/'Expo 2015'!H6</f>
        <v>8.2826694656883443E-2</v>
      </c>
      <c r="I7" s="35">
        <f>+(I6-'Expo 2015'!I6)/'Expo 2015'!I6</f>
        <v>1.2437810780531899</v>
      </c>
      <c r="J7" s="35">
        <f>+(J6-'Expo 2015'!J6)/'Expo 2015'!J6</f>
        <v>1.9944687861938588</v>
      </c>
      <c r="K7" s="35">
        <f>+(K6-'Expo 2015'!K6)/'Expo 2015'!K6</f>
        <v>0.86504330504930882</v>
      </c>
      <c r="L7" s="35">
        <f>+(L6-'Expo 2015'!L6)/'Expo 2015'!L6</f>
        <v>1.4049551116745413</v>
      </c>
      <c r="M7" s="35">
        <f>+(M6-'Expo 2015'!M6)/'Expo 2015'!M6</f>
        <v>-8.4025348401861155E-2</v>
      </c>
      <c r="N7" s="37">
        <f>+(N6-'Expo 2015'!N6)/'Expo 2015'!N6</f>
        <v>0.89919986106317185</v>
      </c>
      <c r="O7" s="37">
        <f>+(O6-'Expo 2015'!O6)/'Expo 2015'!O6</f>
        <v>0.17690380388380611</v>
      </c>
      <c r="P7" s="37">
        <f>+(P6-'Expo 2015'!P6)/'Expo 2015'!P6</f>
        <v>-8.2779521404334373E-3</v>
      </c>
      <c r="R7" s="14"/>
      <c r="T7" s="35">
        <f>+SUM('Impo 2016'!D7:K7)</f>
        <v>-3.3287497035254816</v>
      </c>
    </row>
    <row r="8" spans="2:23" ht="18" customHeight="1" thickTop="1" thickBot="1">
      <c r="B8" s="260" t="s">
        <v>77</v>
      </c>
      <c r="C8" s="31" t="s">
        <v>65</v>
      </c>
      <c r="D8" s="53">
        <v>0</v>
      </c>
      <c r="E8" s="53">
        <v>0</v>
      </c>
      <c r="F8" s="53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34">
        <f>+SUM(D8:O8)</f>
        <v>0</v>
      </c>
      <c r="R8" s="14"/>
      <c r="T8" s="53">
        <f>+SUM('Impo 2016'!D8:K8)</f>
        <v>310.58351099999999</v>
      </c>
    </row>
    <row r="9" spans="2:23" ht="18" customHeight="1" thickTop="1" thickBot="1">
      <c r="B9" s="260"/>
      <c r="C9" s="29" t="s">
        <v>59</v>
      </c>
      <c r="D9" s="53">
        <v>0</v>
      </c>
      <c r="E9" s="53">
        <v>0</v>
      </c>
      <c r="F9" s="53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34">
        <f>+SUM(D9:O9)</f>
        <v>0</v>
      </c>
      <c r="R9" s="14"/>
      <c r="T9" s="53">
        <f>+SUM('Impo 2016'!D9:K9)</f>
        <v>117.69302499999999</v>
      </c>
    </row>
    <row r="10" spans="2:23" ht="18" customHeight="1" thickTop="1" thickBot="1">
      <c r="B10" s="260"/>
      <c r="C10" s="29" t="s">
        <v>60</v>
      </c>
      <c r="D10" s="53">
        <v>0</v>
      </c>
      <c r="E10" s="53">
        <v>0</v>
      </c>
      <c r="F10" s="53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34">
        <f>+SUM(D10:O10)</f>
        <v>0</v>
      </c>
      <c r="R10" s="14"/>
      <c r="T10" s="53">
        <f>+SUM('Impo 2016'!D10:K10)</f>
        <v>7.5428609999999994</v>
      </c>
    </row>
    <row r="11" spans="2:23" ht="18" customHeight="1" thickTop="1" thickBot="1">
      <c r="B11" s="260"/>
      <c r="C11" s="29" t="s">
        <v>139</v>
      </c>
      <c r="D11" s="52">
        <f>+D8+D9+D10</f>
        <v>0</v>
      </c>
      <c r="E11" s="52">
        <f>+E8+E9+E10</f>
        <v>0</v>
      </c>
      <c r="F11" s="52">
        <f>+F8+F9+F10</f>
        <v>0</v>
      </c>
      <c r="G11" s="52">
        <f t="shared" ref="G11:P11" si="1">+G8+G9+G10</f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34">
        <f t="shared" si="1"/>
        <v>0</v>
      </c>
      <c r="R11" s="46">
        <f>P11-T11</f>
        <v>-435.81939699999998</v>
      </c>
      <c r="T11" s="53">
        <f>+SUM('Impo 2016'!D11:K11)</f>
        <v>435.81939699999998</v>
      </c>
      <c r="W11" s="61">
        <f t="shared" ref="W11" si="2">+D11+E11+F11+G11+H11+I11+J11+K11+L11+M11+N11+O11</f>
        <v>0</v>
      </c>
    </row>
    <row r="12" spans="2:23" ht="18" customHeight="1" thickTop="1" thickBot="1">
      <c r="B12" s="260"/>
      <c r="C12" s="32" t="s">
        <v>81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f>+(P11-'Expo 2015'!P11)/'Expo 2015'!P11</f>
        <v>-1</v>
      </c>
      <c r="R12" s="14"/>
      <c r="T12" s="35">
        <f>+SUM('Impo 2016'!D12:K12)</f>
        <v>1.5682078423526833</v>
      </c>
    </row>
    <row r="13" spans="2:23" ht="18" customHeight="1" thickTop="1" thickBot="1">
      <c r="B13" s="260" t="s">
        <v>42</v>
      </c>
      <c r="C13" s="31" t="s">
        <v>65</v>
      </c>
      <c r="D13" s="34">
        <v>115.262</v>
      </c>
      <c r="E13" s="34">
        <v>90.304000000000002</v>
      </c>
      <c r="F13" s="34">
        <v>149.55699999999999</v>
      </c>
      <c r="G13" s="34">
        <f>134.329+3.38</f>
        <v>137.709</v>
      </c>
      <c r="H13" s="34">
        <f>131.264+3.953</f>
        <v>135.21700000000001</v>
      </c>
      <c r="I13" s="34">
        <f>12.284+188.971</f>
        <v>201.255</v>
      </c>
      <c r="J13" s="34">
        <f>175.883+2.334</f>
        <v>178.21700000000001</v>
      </c>
      <c r="K13" s="34">
        <v>164.09100000000001</v>
      </c>
      <c r="L13" s="34">
        <v>133.732</v>
      </c>
      <c r="M13" s="34">
        <v>126.494</v>
      </c>
      <c r="N13" s="34">
        <v>153.32400000000001</v>
      </c>
      <c r="O13" s="30">
        <v>150</v>
      </c>
      <c r="P13" s="30">
        <f>+SUM(D13:O13)</f>
        <v>1735.162</v>
      </c>
      <c r="R13" s="14"/>
      <c r="T13" s="52">
        <f>+SUM('Impo 2016'!D13:K13)</f>
        <v>360.661</v>
      </c>
    </row>
    <row r="14" spans="2:23" ht="18" customHeight="1" thickTop="1" thickBot="1">
      <c r="B14" s="260"/>
      <c r="C14" s="29" t="s">
        <v>59</v>
      </c>
      <c r="D14" s="34">
        <v>234.00700000000001</v>
      </c>
      <c r="E14" s="34">
        <v>319.113</v>
      </c>
      <c r="F14" s="34">
        <v>346.31299999999999</v>
      </c>
      <c r="G14" s="34">
        <v>262.74200000000002</v>
      </c>
      <c r="H14" s="34">
        <v>178.625</v>
      </c>
      <c r="I14" s="34">
        <v>248.54300000000001</v>
      </c>
      <c r="J14" s="34">
        <v>194.464</v>
      </c>
      <c r="K14" s="34">
        <v>219.04900000000001</v>
      </c>
      <c r="L14" s="34">
        <v>377.53100000000001</v>
      </c>
      <c r="M14" s="34">
        <v>151.11600000000001</v>
      </c>
      <c r="N14" s="34">
        <v>238.43100000000001</v>
      </c>
      <c r="O14" s="30">
        <v>212</v>
      </c>
      <c r="P14" s="30">
        <f>+SUM(D14:O14)</f>
        <v>2981.9339999999997</v>
      </c>
      <c r="R14" s="14"/>
      <c r="T14" s="52">
        <f>+SUM('Impo 2016'!D14:K14)</f>
        <v>412.41200000000009</v>
      </c>
    </row>
    <row r="15" spans="2:23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0"/>
      <c r="P15" s="30">
        <f>+SUM(D15:O15)</f>
        <v>0</v>
      </c>
      <c r="R15" s="14"/>
      <c r="T15" s="52">
        <f>+SUM('Impo 2016'!D15:K15)</f>
        <v>0</v>
      </c>
    </row>
    <row r="16" spans="2:23" ht="18" customHeight="1" thickTop="1" thickBot="1">
      <c r="B16" s="260"/>
      <c r="C16" s="29" t="s">
        <v>139</v>
      </c>
      <c r="D16" s="52">
        <f t="shared" ref="D16:I16" si="3">+D13+D14+D15</f>
        <v>349.26900000000001</v>
      </c>
      <c r="E16" s="52">
        <f t="shared" si="3"/>
        <v>409.41700000000003</v>
      </c>
      <c r="F16" s="52">
        <f t="shared" si="3"/>
        <v>495.87</v>
      </c>
      <c r="G16" s="52">
        <f t="shared" si="3"/>
        <v>400.45100000000002</v>
      </c>
      <c r="H16" s="52">
        <f t="shared" si="3"/>
        <v>313.84199999999998</v>
      </c>
      <c r="I16" s="52">
        <f t="shared" si="3"/>
        <v>449.798</v>
      </c>
      <c r="J16" s="52">
        <f t="shared" ref="J16:P16" si="4">+J13+J14+J15</f>
        <v>372.68100000000004</v>
      </c>
      <c r="K16" s="52">
        <f t="shared" si="4"/>
        <v>383.14</v>
      </c>
      <c r="L16" s="52">
        <f t="shared" si="4"/>
        <v>511.26300000000003</v>
      </c>
      <c r="M16" s="52">
        <f t="shared" si="4"/>
        <v>277.61</v>
      </c>
      <c r="N16" s="52">
        <f t="shared" si="4"/>
        <v>391.755</v>
      </c>
      <c r="O16" s="53">
        <f t="shared" si="4"/>
        <v>362</v>
      </c>
      <c r="P16" s="30">
        <f t="shared" si="4"/>
        <v>4717.0959999999995</v>
      </c>
      <c r="R16" s="46">
        <f>P16-T16</f>
        <v>3944.0229999999997</v>
      </c>
      <c r="T16" s="52">
        <f>+SUM('Impo 2016'!D16:K16)</f>
        <v>773.07299999999987</v>
      </c>
      <c r="W16" s="61">
        <f t="shared" ref="W16" si="5">+D16+E16+F16+G16+H16+I16+J16+K16+L16+M16+N16+O16</f>
        <v>4717.0959999999995</v>
      </c>
    </row>
    <row r="17" spans="2:23" ht="18" customHeight="1" thickTop="1" thickBot="1">
      <c r="B17" s="260"/>
      <c r="C17" s="32" t="s">
        <v>81</v>
      </c>
      <c r="D17" s="35">
        <f>+(D16-'Expo 2015'!D16)/'Expo 2015'!D16</f>
        <v>0.2292793664760229</v>
      </c>
      <c r="E17" s="35">
        <f>+(E16-'Expo 2015'!E16)/'Expo 2015'!E16</f>
        <v>0.72684212746214527</v>
      </c>
      <c r="F17" s="35">
        <f>+(F16-'Expo 2015'!F16)/'Expo 2015'!F16</f>
        <v>0.12306950134871632</v>
      </c>
      <c r="G17" s="35">
        <f>+(G16-'Expo 2015'!G16)/'Expo 2015'!G16</f>
        <v>0.84415554511711011</v>
      </c>
      <c r="H17" s="35">
        <f>+(H16-'Expo 2015'!H16)/'Expo 2015'!H16</f>
        <v>-0.24426957038934902</v>
      </c>
      <c r="I17" s="35">
        <f>+(I16-'Expo 2015'!I16)/'Expo 2015'!I16</f>
        <v>5.859482561820295E-2</v>
      </c>
      <c r="J17" s="35">
        <f>+(J16-'Expo 2015'!J16)/'Expo 2015'!J16</f>
        <v>-0.29854224112781036</v>
      </c>
      <c r="K17" s="35">
        <f>+(K16-'Expo 2015'!K16)/'Expo 2015'!K16</f>
        <v>-0.22687630908804743</v>
      </c>
      <c r="L17" s="35">
        <f>+(L16-'Expo 2015'!L16)/'Expo 2015'!L16</f>
        <v>-6.9749289024503308E-2</v>
      </c>
      <c r="M17" s="35">
        <f>+(M16-'Expo 2015'!M16)/'Expo 2015'!M16</f>
        <v>-0.44183399985121469</v>
      </c>
      <c r="N17" s="35">
        <f>+(N16-'Expo 2015'!N16)/'Expo 2015'!N16</f>
        <v>-4.9419831991497708E-2</v>
      </c>
      <c r="O17" s="37">
        <f>+(O16-'Expo 2015'!O16)/'Expo 2015'!O16</f>
        <v>-9.1809982563755124E-2</v>
      </c>
      <c r="P17" s="37">
        <f>+(P16-'Expo 2015'!P16)/'Expo 2015'!P16</f>
        <v>-3.8234154735739025E-2</v>
      </c>
      <c r="R17" s="14"/>
      <c r="T17" s="35">
        <f>+SUM('Impo 2016'!D17:K17)</f>
        <v>-5.1258360184620404</v>
      </c>
    </row>
    <row r="18" spans="2:23" ht="18" customHeight="1" thickTop="1" thickBot="1">
      <c r="B18" s="260" t="s">
        <v>1</v>
      </c>
      <c r="C18" s="31" t="s">
        <v>65</v>
      </c>
      <c r="D18" s="52">
        <v>0.13895705999999999</v>
      </c>
      <c r="E18" s="52">
        <v>4.2523270100000001</v>
      </c>
      <c r="F18" s="52">
        <v>4.5274483799999992</v>
      </c>
      <c r="G18" s="52">
        <v>2.8275435299999998</v>
      </c>
      <c r="H18" s="52">
        <v>0.71042287000000004</v>
      </c>
      <c r="I18" s="52">
        <v>5.6682414700000008</v>
      </c>
      <c r="J18" s="52">
        <v>3.5394843300000001</v>
      </c>
      <c r="K18" s="52">
        <v>5.1131671799999996</v>
      </c>
      <c r="L18" s="52">
        <v>3.5766852500000001</v>
      </c>
      <c r="M18" s="52">
        <v>7.4773128399999997</v>
      </c>
      <c r="N18" s="52">
        <v>17.178452160000003</v>
      </c>
      <c r="O18" s="52">
        <v>11.646661269999999</v>
      </c>
      <c r="P18" s="34">
        <f>+SUM(D18:O18)</f>
        <v>66.656703350000001</v>
      </c>
      <c r="R18" s="14"/>
      <c r="S18" s="12">
        <f>+AVERAGE(D18:E18)</f>
        <v>2.1956420350000001</v>
      </c>
      <c r="T18" s="53">
        <f>+SUM('Impo 2016'!D18:K18)</f>
        <v>269.32278123999993</v>
      </c>
    </row>
    <row r="19" spans="2:23" ht="18" customHeight="1" thickTop="1" thickBot="1">
      <c r="B19" s="260"/>
      <c r="C19" s="29" t="s">
        <v>59</v>
      </c>
      <c r="D19" s="52">
        <v>0.15208670000000002</v>
      </c>
      <c r="E19" s="52">
        <v>0.34525834000000005</v>
      </c>
      <c r="F19" s="52">
        <v>0.16608057999999998</v>
      </c>
      <c r="G19" s="52">
        <v>0.88306807999999992</v>
      </c>
      <c r="H19" s="52">
        <v>1.2748873000000001</v>
      </c>
      <c r="I19" s="52">
        <v>0.17261453999999998</v>
      </c>
      <c r="J19" s="52">
        <v>0.23381619999999997</v>
      </c>
      <c r="K19" s="52">
        <v>1.12566492</v>
      </c>
      <c r="L19" s="52">
        <v>1.0160465300000001</v>
      </c>
      <c r="M19" s="52">
        <v>1.24426886</v>
      </c>
      <c r="N19" s="52">
        <v>0.81264199000000004</v>
      </c>
      <c r="O19" s="52">
        <v>1.5226176499999999</v>
      </c>
      <c r="P19" s="34">
        <f>+SUM(D19:O19)</f>
        <v>8.949051690000001</v>
      </c>
      <c r="R19" s="14"/>
      <c r="S19" s="12">
        <f>+AVERAGE(D19:E19)</f>
        <v>0.24867252000000004</v>
      </c>
      <c r="T19" s="53">
        <f>+SUM('Impo 2016'!D19:K19)</f>
        <v>771.72140831999991</v>
      </c>
    </row>
    <row r="20" spans="2:23" ht="18" customHeight="1" thickTop="1" thickBot="1">
      <c r="B20" s="260"/>
      <c r="C20" s="29" t="s">
        <v>60</v>
      </c>
      <c r="D20" s="52">
        <v>8.9543449999999997E-2</v>
      </c>
      <c r="E20" s="52">
        <v>0.27543781999999994</v>
      </c>
      <c r="F20" s="52">
        <v>0.14792897000000002</v>
      </c>
      <c r="G20" s="52">
        <v>0.23446828</v>
      </c>
      <c r="H20" s="52">
        <v>0.18079604000000002</v>
      </c>
      <c r="I20" s="52">
        <v>0.10170926999999999</v>
      </c>
      <c r="J20" s="52">
        <v>0.23353587999999997</v>
      </c>
      <c r="K20" s="52">
        <v>0.15997888000000002</v>
      </c>
      <c r="L20" s="52">
        <v>0.20446060999999999</v>
      </c>
      <c r="M20" s="52">
        <v>0.20947368000000002</v>
      </c>
      <c r="N20" s="52">
        <v>0.14835910000000002</v>
      </c>
      <c r="O20" s="52">
        <v>0.20889070999999998</v>
      </c>
      <c r="P20" s="34">
        <f>+SUM(D20:O20)</f>
        <v>2.1945826899999998</v>
      </c>
      <c r="R20" s="14"/>
      <c r="S20" s="12">
        <f>+AVERAGE(D20:E20)</f>
        <v>0.18249063499999996</v>
      </c>
      <c r="T20" s="53">
        <f>+SUM('Impo 2016'!D20:K20)</f>
        <v>13.790784840000004</v>
      </c>
    </row>
    <row r="21" spans="2:23" ht="18" customHeight="1" thickTop="1" thickBot="1">
      <c r="B21" s="260"/>
      <c r="C21" s="29" t="s">
        <v>139</v>
      </c>
      <c r="D21" s="52">
        <f>+D18+D19+D20</f>
        <v>0.38058720999999995</v>
      </c>
      <c r="E21" s="52">
        <v>9.3950058599999995</v>
      </c>
      <c r="F21" s="52">
        <v>10.395005859999999</v>
      </c>
      <c r="G21" s="52">
        <f>+G18+G19+G20</f>
        <v>3.9450798900000001</v>
      </c>
      <c r="H21" s="52">
        <f>+H18+H19+H20</f>
        <v>2.1661062100000001</v>
      </c>
      <c r="I21" s="52">
        <f>+I18+I19+I20</f>
        <v>5.9425652800000002</v>
      </c>
      <c r="J21" s="52">
        <f t="shared" ref="J21:P21" si="6">+J18+J19+J20</f>
        <v>4.00683641</v>
      </c>
      <c r="K21" s="52">
        <f t="shared" si="6"/>
        <v>6.3988109799999995</v>
      </c>
      <c r="L21" s="52">
        <f t="shared" si="6"/>
        <v>4.7971923900000002</v>
      </c>
      <c r="M21" s="52">
        <f t="shared" si="6"/>
        <v>8.9310553800000001</v>
      </c>
      <c r="N21" s="52">
        <f t="shared" si="6"/>
        <v>18.139453250000003</v>
      </c>
      <c r="O21" s="52">
        <f t="shared" si="6"/>
        <v>13.37816963</v>
      </c>
      <c r="P21" s="34">
        <f t="shared" si="6"/>
        <v>77.80033773000001</v>
      </c>
      <c r="R21" s="46">
        <f>P21-T21</f>
        <v>-977.03463666999994</v>
      </c>
      <c r="T21" s="53">
        <f>+SUM('Impo 2016'!D21:K21)</f>
        <v>1054.8349744</v>
      </c>
      <c r="W21" s="61">
        <f t="shared" ref="W21" si="7">+D21+E21+F21+G21+H21+I21+J21+K21+L21+M21+N21+O21</f>
        <v>87.87586834999999</v>
      </c>
    </row>
    <row r="22" spans="2:23" ht="18" customHeight="1" thickTop="1" thickBot="1">
      <c r="B22" s="260"/>
      <c r="C22" s="32" t="s">
        <v>81</v>
      </c>
      <c r="D22" s="35">
        <f>+(D21-'Expo 2015'!D21)/'Expo 2015'!D21</f>
        <v>-0.71143600192502776</v>
      </c>
      <c r="E22" s="35">
        <f>+(E21-'Expo 2015'!E21)/'Expo 2015'!E21</f>
        <v>0</v>
      </c>
      <c r="F22" s="35">
        <f>+(F21-'Expo 2015'!F21)/'Expo 2015'!F21</f>
        <v>2.4998884682635483</v>
      </c>
      <c r="G22" s="35">
        <f>+(G21-'Expo 2015'!G21)/'Expo 2015'!G21</f>
        <v>-0.54289210875913163</v>
      </c>
      <c r="H22" s="35">
        <f>+(H21-'Expo 2015'!H21)/'Expo 2015'!H21</f>
        <v>0.30711869184810137</v>
      </c>
      <c r="I22" s="35">
        <f>+(I21-'Expo 2015'!I21)/'Expo 2015'!I21</f>
        <v>4.3198302113263107</v>
      </c>
      <c r="J22" s="35">
        <f>+(J21-'Expo 2015'!J21)/'Expo 2015'!J21</f>
        <v>-0.49006390504647551</v>
      </c>
      <c r="K22" s="35">
        <f>+(K21-'Expo 2015'!K21)/'Expo 2015'!K21</f>
        <v>0.24068043235967521</v>
      </c>
      <c r="L22" s="35">
        <f>+(L21-'Expo 2015'!L21)/'Expo 2015'!L21</f>
        <v>-0.54904708530823265</v>
      </c>
      <c r="M22" s="35">
        <f>+(M21-'Expo 2015'!M21)/'Expo 2015'!M21</f>
        <v>2.9165837388959672</v>
      </c>
      <c r="N22" s="35">
        <f>+(N21-'Expo 2015'!N21)/'Expo 2015'!N21</f>
        <v>7.5791471008487896</v>
      </c>
      <c r="O22" s="35">
        <f>+(O21-'Expo 2015'!O21)/'Expo 2015'!O21</f>
        <v>-6.4069023341719863E-2</v>
      </c>
      <c r="P22" s="35">
        <f>+(P21-'Expo 2015'!P21)/'Expo 2015'!P21</f>
        <v>0.15378851496776455</v>
      </c>
      <c r="R22" s="14"/>
      <c r="T22" s="35">
        <f>+SUM('Impo 2016'!D22:K22)</f>
        <v>-0.62560042223520984</v>
      </c>
    </row>
    <row r="23" spans="2:23" ht="18" customHeight="1" thickTop="1" thickBot="1">
      <c r="B23" s="260" t="s">
        <v>2</v>
      </c>
      <c r="C23" s="31" t="s">
        <v>65</v>
      </c>
      <c r="D23" s="52">
        <v>3.6519660000000002E-2</v>
      </c>
      <c r="E23" s="52">
        <v>8.5849999999999989E-4</v>
      </c>
      <c r="F23" s="52">
        <v>0.42616989</v>
      </c>
      <c r="G23" s="52">
        <v>0.55418250000000002</v>
      </c>
      <c r="H23" s="52">
        <v>0.12884051999999999</v>
      </c>
      <c r="I23" s="52">
        <v>0.50474008000000004</v>
      </c>
      <c r="J23" s="52">
        <v>0.6086646</v>
      </c>
      <c r="K23" s="52">
        <v>0.99907069999999998</v>
      </c>
      <c r="L23" s="52">
        <v>0.31925086999999996</v>
      </c>
      <c r="M23" s="52">
        <v>0.46889700000000001</v>
      </c>
      <c r="N23" s="52">
        <v>5.6658179999999989E-2</v>
      </c>
      <c r="O23" s="52">
        <v>4.0983830000000006E-2</v>
      </c>
      <c r="P23" s="34">
        <f>+SUM(D23:O23)</f>
        <v>4.1448363300000004</v>
      </c>
      <c r="R23" s="14"/>
      <c r="S23" s="12">
        <f>+AVERAGE(D23:E23)</f>
        <v>1.868908E-2</v>
      </c>
      <c r="T23" s="53">
        <f>+SUM('Impo 2016'!D23:K23)</f>
        <v>697.08609365000007</v>
      </c>
    </row>
    <row r="24" spans="2:23" ht="18" customHeight="1" thickTop="1" thickBot="1">
      <c r="B24" s="260"/>
      <c r="C24" s="29" t="s">
        <v>59</v>
      </c>
      <c r="D24" s="34">
        <v>2.6825504900000001</v>
      </c>
      <c r="E24" s="34">
        <v>0.23991585000000001</v>
      </c>
      <c r="F24" s="34">
        <v>2.3053092399999997</v>
      </c>
      <c r="G24" s="34">
        <v>3.5870667500000004</v>
      </c>
      <c r="H24" s="34">
        <v>2.7389877599999997</v>
      </c>
      <c r="I24" s="34">
        <v>1.1731392999999999</v>
      </c>
      <c r="J24" s="34">
        <v>3.7676061099999996</v>
      </c>
      <c r="K24" s="34">
        <v>6.6113571100000001</v>
      </c>
      <c r="L24" s="34">
        <v>5.5535856900000002</v>
      </c>
      <c r="M24" s="34">
        <v>8.7350787299999997</v>
      </c>
      <c r="N24" s="34">
        <v>5.5138086099999999</v>
      </c>
      <c r="O24" s="34">
        <v>3.0269917400000002</v>
      </c>
      <c r="P24" s="34">
        <f>+SUM(D24:O24)</f>
        <v>45.935397379999991</v>
      </c>
      <c r="R24" s="14"/>
      <c r="S24" s="12">
        <f>+AVERAGE(D24:E24)</f>
        <v>1.4612331700000001</v>
      </c>
      <c r="T24" s="53">
        <f>+SUM('Impo 2016'!D24:K24)</f>
        <v>859.58731840000007</v>
      </c>
    </row>
    <row r="25" spans="2:23" ht="18" customHeight="1" thickTop="1" thickBot="1">
      <c r="B25" s="260"/>
      <c r="C25" s="29" t="s">
        <v>60</v>
      </c>
      <c r="D25" s="34">
        <v>0.60559652999999991</v>
      </c>
      <c r="E25" s="34">
        <v>0.53356882999999988</v>
      </c>
      <c r="F25" s="34">
        <v>1.1566519900000003</v>
      </c>
      <c r="G25" s="34">
        <v>1.9552450299999999</v>
      </c>
      <c r="H25" s="34">
        <v>0.58580595999999996</v>
      </c>
      <c r="I25" s="34">
        <v>0.31944836999999993</v>
      </c>
      <c r="J25" s="34">
        <v>0.37832047000000002</v>
      </c>
      <c r="K25" s="34">
        <v>2.12581658</v>
      </c>
      <c r="L25" s="34">
        <v>0.32702537000000004</v>
      </c>
      <c r="M25" s="34">
        <v>9.5301089999999991E-2</v>
      </c>
      <c r="N25" s="34">
        <v>0.49091624</v>
      </c>
      <c r="O25" s="34">
        <v>1.4127736199999998</v>
      </c>
      <c r="P25" s="34">
        <f>+SUM(D25:O25)</f>
        <v>9.9864700800000019</v>
      </c>
      <c r="R25" s="14"/>
      <c r="S25" s="12">
        <f>+AVERAGE(D25:E25)</f>
        <v>0.5695826799999999</v>
      </c>
      <c r="T25" s="53">
        <f>+SUM('Impo 2016'!D25:K25)</f>
        <v>40.204387669999996</v>
      </c>
    </row>
    <row r="26" spans="2:23" ht="18" customHeight="1" thickTop="1" thickBot="1">
      <c r="B26" s="260"/>
      <c r="C26" s="29" t="s">
        <v>139</v>
      </c>
      <c r="D26" s="52">
        <f t="shared" ref="D26:I26" si="8">+D23+D24+D25</f>
        <v>3.32466668</v>
      </c>
      <c r="E26" s="52">
        <f t="shared" si="8"/>
        <v>0.77434317999999991</v>
      </c>
      <c r="F26" s="52">
        <f t="shared" si="8"/>
        <v>3.8881311200000002</v>
      </c>
      <c r="G26" s="52">
        <f t="shared" si="8"/>
        <v>6.0964942799999999</v>
      </c>
      <c r="H26" s="52">
        <f t="shared" si="8"/>
        <v>3.4536342399999995</v>
      </c>
      <c r="I26" s="52">
        <f t="shared" si="8"/>
        <v>1.9973277499999997</v>
      </c>
      <c r="J26" s="52">
        <f t="shared" ref="J26:P26" si="9">+J23+J24+J25</f>
        <v>4.7545911800000003</v>
      </c>
      <c r="K26" s="52">
        <f t="shared" si="9"/>
        <v>9.7362443899999995</v>
      </c>
      <c r="L26" s="52">
        <f t="shared" si="9"/>
        <v>6.1998619300000009</v>
      </c>
      <c r="M26" s="52">
        <f t="shared" si="9"/>
        <v>9.2992768199999993</v>
      </c>
      <c r="N26" s="52">
        <f t="shared" si="9"/>
        <v>6.06138303</v>
      </c>
      <c r="O26" s="52">
        <f t="shared" si="9"/>
        <v>4.48074919</v>
      </c>
      <c r="P26" s="34">
        <f t="shared" si="9"/>
        <v>60.066703789999991</v>
      </c>
      <c r="R26" s="46">
        <f>P26-T26</f>
        <v>-1536.81109593</v>
      </c>
      <c r="T26" s="53">
        <f>+SUM('Impo 2016'!D26:K26)</f>
        <v>1596.87779972</v>
      </c>
      <c r="W26" s="61">
        <f t="shared" ref="W26" si="10">+D26+E26+F26+G26+H26+I26+J26+K26+L26+M26+N26+O26</f>
        <v>60.066703790000005</v>
      </c>
    </row>
    <row r="27" spans="2:23" ht="18" customHeight="1" thickTop="1" thickBot="1">
      <c r="B27" s="260"/>
      <c r="C27" s="32" t="s">
        <v>81</v>
      </c>
      <c r="D27" s="35">
        <f>+(D26-'Expo 2015'!D26)/'Expo 2015'!D26</f>
        <v>-0.36418669588052205</v>
      </c>
      <c r="E27" s="35">
        <f>+(E26-'Expo 2015'!E26)/'Expo 2015'!E26</f>
        <v>-0.8228855483515265</v>
      </c>
      <c r="F27" s="35">
        <f>+(F26-'Expo 2015'!F26)/'Expo 2015'!F26</f>
        <v>1.2540856606103705</v>
      </c>
      <c r="G27" s="35">
        <f>+(G26-'Expo 2015'!G26)/'Expo 2015'!G26</f>
        <v>0.69834180314025163</v>
      </c>
      <c r="H27" s="35">
        <f>+(H26-'Expo 2015'!H26)/'Expo 2015'!H26</f>
        <v>1.4120761964913544</v>
      </c>
      <c r="I27" s="35">
        <f>+(I26-'Expo 2015'!I26)/'Expo 2015'!I26</f>
        <v>-0.49636611502682804</v>
      </c>
      <c r="J27" s="35">
        <f>+(J26-'Expo 2015'!J26)/'Expo 2015'!J26</f>
        <v>1.8966803720449392E-2</v>
      </c>
      <c r="K27" s="35">
        <f>+(K26-'Expo 2015'!K26)/'Expo 2015'!K26</f>
        <v>2.3015898176778391</v>
      </c>
      <c r="L27" s="35">
        <f>+(L26-'Expo 2015'!L26)/'Expo 2015'!L26</f>
        <v>0.14649675381446703</v>
      </c>
      <c r="M27" s="35">
        <f>+(M26-'Expo 2015'!M26)/'Expo 2015'!M26</f>
        <v>0.47405553238325587</v>
      </c>
      <c r="N27" s="35">
        <f>+(N26-'Expo 2015'!N26)/'Expo 2015'!N26</f>
        <v>0.44076800713271302</v>
      </c>
      <c r="O27" s="35">
        <f>+(O26-'Expo 2015'!O26)/'Expo 2015'!O26</f>
        <v>-0.20456057428409599</v>
      </c>
      <c r="P27" s="35">
        <f>+(P26-'Expo 2015'!P26)/'Expo 2015'!P26</f>
        <v>0.21384464207576603</v>
      </c>
      <c r="R27" s="14"/>
      <c r="T27" s="35">
        <f>+SUM('Impo 2016'!D27:K27)</f>
        <v>-0.33685095613960264</v>
      </c>
    </row>
    <row r="28" spans="2:23" s="3" customFormat="1" ht="18" customHeight="1" thickTop="1" thickBot="1">
      <c r="B28" s="260" t="s">
        <v>5</v>
      </c>
      <c r="C28" s="31" t="s">
        <v>65</v>
      </c>
      <c r="D28" s="52">
        <v>6.7863160000000002</v>
      </c>
      <c r="E28" s="52">
        <v>6.4575560000000003</v>
      </c>
      <c r="F28" s="52">
        <v>5.0541929999999997</v>
      </c>
      <c r="G28" s="52">
        <v>4.4986930000000003</v>
      </c>
      <c r="H28" s="52">
        <v>7.1770779999999998</v>
      </c>
      <c r="I28" s="52">
        <v>6.6644420000000002</v>
      </c>
      <c r="J28" s="52">
        <v>7.2508340000000002</v>
      </c>
      <c r="K28" s="52">
        <v>3.9363980000000001</v>
      </c>
      <c r="L28" s="52">
        <v>2.8046220000000002</v>
      </c>
      <c r="M28" s="52">
        <v>4.7157419999999997</v>
      </c>
      <c r="N28" s="52">
        <v>14.740513999999999</v>
      </c>
      <c r="O28" s="52">
        <v>3.8356180000000002</v>
      </c>
      <c r="P28" s="34">
        <f>+SUM(D28:O28)</f>
        <v>73.922005999999996</v>
      </c>
      <c r="R28" s="14"/>
      <c r="S28" s="12">
        <f>+AVERAGE(D28:E28)</f>
        <v>6.6219359999999998</v>
      </c>
      <c r="T28" s="52">
        <f>+SUM('Impo 2016'!D28:K28)</f>
        <v>98.474748000000005</v>
      </c>
      <c r="W28" s="2"/>
    </row>
    <row r="29" spans="2:23" s="3" customFormat="1" ht="18" customHeight="1" thickTop="1" thickBot="1">
      <c r="B29" s="260"/>
      <c r="C29" s="29" t="s">
        <v>59</v>
      </c>
      <c r="D29" s="52">
        <v>1.977754</v>
      </c>
      <c r="E29" s="52">
        <v>2.7799450000000001</v>
      </c>
      <c r="F29" s="52">
        <v>3.7672829999999999</v>
      </c>
      <c r="G29" s="52">
        <v>3.5147390000000001</v>
      </c>
      <c r="H29" s="52">
        <v>3.4715150000000001</v>
      </c>
      <c r="I29" s="52">
        <v>3.869742</v>
      </c>
      <c r="J29" s="52">
        <v>2.9655420000000001</v>
      </c>
      <c r="K29" s="52">
        <v>4.565105</v>
      </c>
      <c r="L29" s="52">
        <v>3.4180739999999998</v>
      </c>
      <c r="M29" s="52">
        <v>5.562087</v>
      </c>
      <c r="N29" s="52">
        <v>1.4715100000000001</v>
      </c>
      <c r="O29" s="52">
        <v>2.4720230000000001</v>
      </c>
      <c r="P29" s="34">
        <f>+SUM(D29:O29)</f>
        <v>39.835319000000005</v>
      </c>
      <c r="R29" s="14"/>
      <c r="S29" s="12">
        <f>+AVERAGE(D29:E29)</f>
        <v>2.3788495000000003</v>
      </c>
      <c r="T29" s="52">
        <f>+SUM('Impo 2016'!D29:K29)</f>
        <v>228.85660499999997</v>
      </c>
      <c r="W29" s="2"/>
    </row>
    <row r="30" spans="2:23" s="3" customFormat="1" ht="18" customHeight="1" thickTop="1" thickBot="1">
      <c r="B30" s="260"/>
      <c r="C30" s="29" t="s">
        <v>60</v>
      </c>
      <c r="D30" s="52">
        <v>9.129E-3</v>
      </c>
      <c r="E30" s="52">
        <v>7.5953999999999994E-2</v>
      </c>
      <c r="F30" s="52">
        <v>1.3952000000000001E-2</v>
      </c>
      <c r="G30" s="52">
        <v>4.2570000000000004E-3</v>
      </c>
      <c r="H30" s="52">
        <v>1.0701E-2</v>
      </c>
      <c r="I30" s="52">
        <v>0.14216699999999999</v>
      </c>
      <c r="J30" s="52">
        <v>4.2339999999999999E-3</v>
      </c>
      <c r="K30" s="52">
        <v>2.6029999999999998E-3</v>
      </c>
      <c r="L30" s="52">
        <v>2.944E-3</v>
      </c>
      <c r="M30" s="52">
        <v>9.7409999999999997E-3</v>
      </c>
      <c r="N30" s="52">
        <v>8.3040000000000006E-3</v>
      </c>
      <c r="O30" s="52">
        <v>9.9330000000000009E-3</v>
      </c>
      <c r="P30" s="52">
        <f>+SUM(D30:O30)</f>
        <v>0.29391900000000004</v>
      </c>
      <c r="R30" s="14"/>
      <c r="S30" s="12">
        <f>+AVERAGE(D30:E30)</f>
        <v>4.2541499999999996E-2</v>
      </c>
      <c r="T30" s="52">
        <f>+SUM('Impo 2016'!D30:K30)</f>
        <v>2.8257009999999996</v>
      </c>
      <c r="W30" s="2"/>
    </row>
    <row r="31" spans="2:23" s="3" customFormat="1" ht="18" customHeight="1" thickTop="1" thickBot="1">
      <c r="B31" s="260"/>
      <c r="C31" s="29" t="s">
        <v>139</v>
      </c>
      <c r="D31" s="52">
        <f t="shared" ref="D31:I31" si="11">+D28+D29+D30</f>
        <v>8.773199</v>
      </c>
      <c r="E31" s="52">
        <f t="shared" si="11"/>
        <v>9.3134549999999994</v>
      </c>
      <c r="F31" s="52">
        <f t="shared" si="11"/>
        <v>8.8354280000000003</v>
      </c>
      <c r="G31" s="52">
        <f t="shared" si="11"/>
        <v>8.0176890000000007</v>
      </c>
      <c r="H31" s="52">
        <f t="shared" si="11"/>
        <v>10.659293999999999</v>
      </c>
      <c r="I31" s="52">
        <f t="shared" si="11"/>
        <v>10.676351</v>
      </c>
      <c r="J31" s="52">
        <f t="shared" ref="J31:P31" si="12">+J28+J29+J30</f>
        <v>10.220610000000001</v>
      </c>
      <c r="K31" s="52">
        <f t="shared" si="12"/>
        <v>8.5041060000000002</v>
      </c>
      <c r="L31" s="52">
        <f t="shared" si="12"/>
        <v>6.2256400000000003</v>
      </c>
      <c r="M31" s="52">
        <f t="shared" si="12"/>
        <v>10.287570000000001</v>
      </c>
      <c r="N31" s="52">
        <f t="shared" si="12"/>
        <v>16.220327999999999</v>
      </c>
      <c r="O31" s="52">
        <f t="shared" si="12"/>
        <v>6.3175740000000005</v>
      </c>
      <c r="P31" s="34">
        <f t="shared" si="12"/>
        <v>114.05124400000001</v>
      </c>
      <c r="R31" s="46">
        <f>P31-T31</f>
        <v>-216.10580999999996</v>
      </c>
      <c r="T31" s="52">
        <f>+SUM('Impo 2016'!D31:K31)</f>
        <v>330.15705399999996</v>
      </c>
      <c r="W31" s="61">
        <f t="shared" ref="W31" si="13">+D31+E31+F31+G31+H31+I31+J31+K31+L31+M31+N31+O31</f>
        <v>114.051244</v>
      </c>
    </row>
    <row r="32" spans="2:23" s="3" customFormat="1" ht="18" customHeight="1" thickTop="1" thickBot="1">
      <c r="B32" s="260"/>
      <c r="C32" s="32" t="s">
        <v>81</v>
      </c>
      <c r="D32" s="35">
        <f>+(D31-'Expo 2015'!D31)/'Expo 2015'!D31</f>
        <v>0.1984987480459777</v>
      </c>
      <c r="E32" s="35">
        <f>+(E31-'Expo 2015'!E31)/'Expo 2015'!E31</f>
        <v>0.67312013127054782</v>
      </c>
      <c r="F32" s="35">
        <f>+(F31-'Expo 2015'!F31)/'Expo 2015'!F31</f>
        <v>0.28910542022509161</v>
      </c>
      <c r="G32" s="35">
        <f>+(G31-'Expo 2015'!G31)/'Expo 2015'!G31</f>
        <v>4.3324005715574239E-3</v>
      </c>
      <c r="H32" s="35">
        <f>+(H31-'Expo 2015'!H31)/'Expo 2015'!H31</f>
        <v>3.6527670703881826E-2</v>
      </c>
      <c r="I32" s="35">
        <f>+(I31-'Expo 2015'!I31)/'Expo 2015'!I31</f>
        <v>0.39308478017489973</v>
      </c>
      <c r="J32" s="35">
        <f>+(J31-'Expo 2015'!J31)/'Expo 2015'!J31</f>
        <v>0.5517110236718975</v>
      </c>
      <c r="K32" s="35">
        <f>+(K31-'Expo 2015'!K31)/'Expo 2015'!K31</f>
        <v>0.41697786249620944</v>
      </c>
      <c r="L32" s="35">
        <f>+(L31-'Expo 2015'!L31)/'Expo 2015'!L31</f>
        <v>-0.22569305473917928</v>
      </c>
      <c r="M32" s="35">
        <f>+(M31-'Expo 2015'!M31)/'Expo 2015'!M31</f>
        <v>0.90936768854030825</v>
      </c>
      <c r="N32" s="35">
        <f>+(N31-'Expo 2015'!N31)/'Expo 2015'!N31</f>
        <v>2.5246809598064108</v>
      </c>
      <c r="O32" s="35">
        <f>+(O31-'Expo 2015'!O31)/'Expo 2015'!O31</f>
        <v>0.42675142837204555</v>
      </c>
      <c r="P32" s="35">
        <f>+(P31-'Expo 2015'!P31)/'Expo 2015'!P31</f>
        <v>0.41296766071315938</v>
      </c>
      <c r="R32" s="14"/>
      <c r="T32" s="35">
        <f>+SUM('Impo 2016'!D32:K32)</f>
        <v>0.95377496042509158</v>
      </c>
      <c r="W32" s="2"/>
    </row>
    <row r="33" spans="2:23" s="3" customFormat="1" ht="18" customHeight="1" thickTop="1" thickBot="1">
      <c r="B33" s="260" t="s">
        <v>4</v>
      </c>
      <c r="C33" s="31" t="s">
        <v>65</v>
      </c>
      <c r="D33" s="52">
        <v>0.75899295000000033</v>
      </c>
      <c r="E33" s="52">
        <v>0.34904449999999998</v>
      </c>
      <c r="F33" s="52">
        <v>0.66352584999999997</v>
      </c>
      <c r="G33" s="52">
        <v>0.40627003</v>
      </c>
      <c r="H33" s="52">
        <v>0.36841726000000002</v>
      </c>
      <c r="I33" s="52">
        <v>0.96885209000000017</v>
      </c>
      <c r="J33" s="52">
        <v>0.27523838</v>
      </c>
      <c r="K33" s="52">
        <v>0.73397715000000019</v>
      </c>
      <c r="L33" s="52">
        <v>0.586588</v>
      </c>
      <c r="M33" s="52">
        <v>0.4377284099999999</v>
      </c>
      <c r="N33" s="52">
        <v>0.26129990000000008</v>
      </c>
      <c r="O33" s="52">
        <v>0.63633824999999977</v>
      </c>
      <c r="P33" s="34">
        <f>+SUM(D33:O33)</f>
        <v>6.4462727700000011</v>
      </c>
      <c r="R33" s="14"/>
      <c r="T33" s="52">
        <f>+SUM('Impo 2016'!D33:K33)</f>
        <v>117.09895330000001</v>
      </c>
      <c r="W33" s="2"/>
    </row>
    <row r="34" spans="2:23" s="3" customFormat="1" ht="18" customHeight="1" thickTop="1" thickBot="1">
      <c r="B34" s="260"/>
      <c r="C34" s="29" t="s">
        <v>59</v>
      </c>
      <c r="D34" s="52">
        <v>0.13640099999999999</v>
      </c>
      <c r="E34" s="52">
        <v>0.15255429999999998</v>
      </c>
      <c r="F34" s="52">
        <v>0.23304427000000003</v>
      </c>
      <c r="G34" s="52">
        <v>0.34105121999999999</v>
      </c>
      <c r="H34" s="52">
        <v>0.51547399999999999</v>
      </c>
      <c r="I34" s="52">
        <v>0.11432</v>
      </c>
      <c r="J34" s="52">
        <v>5.9167989999999997E-2</v>
      </c>
      <c r="K34" s="52">
        <v>0.23100913000000001</v>
      </c>
      <c r="L34" s="52">
        <v>0.127663</v>
      </c>
      <c r="M34" s="52">
        <v>9.6405730000000009E-2</v>
      </c>
      <c r="N34" s="52">
        <v>7.3995000000000005E-2</v>
      </c>
      <c r="O34" s="52">
        <v>0.20544850000000001</v>
      </c>
      <c r="P34" s="34">
        <f>+SUM(D34:O34)</f>
        <v>2.2865341400000001</v>
      </c>
      <c r="R34" s="14"/>
      <c r="T34" s="52">
        <f>+SUM('Impo 2016'!D34:K34)</f>
        <v>379.44674912999994</v>
      </c>
      <c r="W34" s="2"/>
    </row>
    <row r="35" spans="2:23" s="3" customFormat="1" ht="18" customHeight="1" thickTop="1" thickBot="1">
      <c r="B35" s="260"/>
      <c r="C35" s="29" t="s">
        <v>60</v>
      </c>
      <c r="D35" s="52">
        <v>2.9985599999999998E-2</v>
      </c>
      <c r="E35" s="52">
        <v>0.12556246000000001</v>
      </c>
      <c r="F35" s="52">
        <v>0.13927300000000001</v>
      </c>
      <c r="G35" s="52">
        <v>1.2547599999999997E-3</v>
      </c>
      <c r="H35" s="52">
        <v>9.2100000000000005E-4</v>
      </c>
      <c r="I35" s="52">
        <v>9.7058399999999989E-2</v>
      </c>
      <c r="J35" s="52">
        <v>0.121447</v>
      </c>
      <c r="K35" s="52">
        <v>0.12985360000000001</v>
      </c>
      <c r="L35" s="52">
        <v>5.4039999999999999E-3</v>
      </c>
      <c r="M35" s="52">
        <v>2.9347140000000001E-2</v>
      </c>
      <c r="N35" s="52">
        <v>1.72241E-3</v>
      </c>
      <c r="O35" s="52">
        <v>0.14579257000000004</v>
      </c>
      <c r="P35" s="34">
        <f>+SUM(D35:O35)</f>
        <v>0.82762194</v>
      </c>
      <c r="Q35" s="52"/>
      <c r="R35" s="52"/>
      <c r="S35" s="53"/>
      <c r="T35" s="52">
        <f>+SUM('Impo 2016'!D35:K35)</f>
        <v>38.195588699999995</v>
      </c>
      <c r="W35" s="2"/>
    </row>
    <row r="36" spans="2:23" s="3" customFormat="1" ht="18" customHeight="1" thickTop="1" thickBot="1">
      <c r="B36" s="260"/>
      <c r="C36" s="29" t="s">
        <v>139</v>
      </c>
      <c r="D36" s="52">
        <f t="shared" ref="D36:I36" si="14">+D33+D34+D35</f>
        <v>0.92537955000000027</v>
      </c>
      <c r="E36" s="52">
        <f t="shared" si="14"/>
        <v>0.62716126000000005</v>
      </c>
      <c r="F36" s="52">
        <f t="shared" si="14"/>
        <v>1.03584312</v>
      </c>
      <c r="G36" s="52">
        <f t="shared" si="14"/>
        <v>0.74857600999999996</v>
      </c>
      <c r="H36" s="52">
        <f t="shared" si="14"/>
        <v>0.88481225999999991</v>
      </c>
      <c r="I36" s="52">
        <f t="shared" si="14"/>
        <v>1.18023049</v>
      </c>
      <c r="J36" s="52">
        <f t="shared" ref="J36:P36" si="15">+J33+J34+J35</f>
        <v>0.45585337000000004</v>
      </c>
      <c r="K36" s="52">
        <f t="shared" si="15"/>
        <v>1.0948398800000003</v>
      </c>
      <c r="L36" s="52">
        <f t="shared" si="15"/>
        <v>0.71965499999999993</v>
      </c>
      <c r="M36" s="52">
        <f t="shared" si="15"/>
        <v>0.56348127999999997</v>
      </c>
      <c r="N36" s="52">
        <f t="shared" si="15"/>
        <v>0.33701731000000007</v>
      </c>
      <c r="O36" s="52">
        <f t="shared" si="15"/>
        <v>0.98757931999999982</v>
      </c>
      <c r="P36" s="34">
        <f t="shared" si="15"/>
        <v>9.560428850000001</v>
      </c>
      <c r="R36" s="46">
        <f>P36-T36</f>
        <v>-525.18086227999993</v>
      </c>
      <c r="T36" s="52">
        <f>+SUM('Impo 2016'!D36:K36)</f>
        <v>534.74129112999992</v>
      </c>
      <c r="W36" s="61">
        <f t="shared" ref="W36" si="16">+D36+E36+F36+G36+H36+I36+J36+K36+L36+M36+N36+O36</f>
        <v>9.5604288499999992</v>
      </c>
    </row>
    <row r="37" spans="2:23" s="3" customFormat="1" ht="18" customHeight="1" thickTop="1" thickBot="1">
      <c r="B37" s="260"/>
      <c r="C37" s="32" t="s">
        <v>81</v>
      </c>
      <c r="D37" s="35">
        <f>+(D36-'Expo 2015'!D36)/'Expo 2015'!D36</f>
        <v>3.7040105956952334</v>
      </c>
      <c r="E37" s="35">
        <f>+(E36-'Expo 2015'!E36)/'Expo 2015'!E36</f>
        <v>2.2638335999846793</v>
      </c>
      <c r="F37" s="35">
        <f>+(F36-'Expo 2015'!F36)/'Expo 2015'!F36</f>
        <v>0.58760317151837715</v>
      </c>
      <c r="G37" s="35">
        <f>+(G36-'Expo 2015'!G36)/'Expo 2015'!G36</f>
        <v>-1.5327524649400296E-2</v>
      </c>
      <c r="H37" s="35">
        <f>+(H36-'Expo 2015'!H36)/'Expo 2015'!H36</f>
        <v>0.6299735079552119</v>
      </c>
      <c r="I37" s="35">
        <f>+(I36-'Expo 2015'!I36)/'Expo 2015'!I36</f>
        <v>-0.11082042710195139</v>
      </c>
      <c r="J37" s="35">
        <f>+(J36-'Expo 2015'!J36)/'Expo 2015'!J36</f>
        <v>-0.10954922818305766</v>
      </c>
      <c r="K37" s="35">
        <f>+(K36-'Expo 2015'!K36)/'Expo 2015'!K36</f>
        <v>0.90064710093389622</v>
      </c>
      <c r="L37" s="35">
        <f>+(L36-'Expo 2015'!L36)/'Expo 2015'!L36</f>
        <v>0.12339360825400776</v>
      </c>
      <c r="M37" s="35">
        <f>+(M36-'Expo 2015'!M36)/'Expo 2015'!M36</f>
        <v>-0.268198536241954</v>
      </c>
      <c r="N37" s="35">
        <f>+(N36-'Expo 2015'!N36)/'Expo 2015'!N36</f>
        <v>-0.34326098292334351</v>
      </c>
      <c r="O37" s="35">
        <f>+(O36-'Expo 2015'!O36)/'Expo 2015'!O36</f>
        <v>-0.43200317992857379</v>
      </c>
      <c r="P37" s="35">
        <f>+(P36-'Expo 2015'!P36)/'Expo 2015'!P36</f>
        <v>0.13515031781162437</v>
      </c>
      <c r="R37" s="14"/>
      <c r="T37" s="35">
        <f>+SUM('Impo 2016'!D37:K37)</f>
        <v>-1.4992168360678169</v>
      </c>
      <c r="W37" s="2"/>
    </row>
    <row r="38" spans="2:23" s="3" customFormat="1" ht="18" customHeight="1" thickTop="1" thickBot="1">
      <c r="B38" s="260" t="s">
        <v>10</v>
      </c>
      <c r="C38" s="31" t="s">
        <v>65</v>
      </c>
      <c r="D38" s="34">
        <v>4.6060018700000001</v>
      </c>
      <c r="E38" s="34">
        <v>4.4167012200000011</v>
      </c>
      <c r="F38" s="34">
        <v>5.3744708399999999</v>
      </c>
      <c r="G38" s="34">
        <v>7.7567636799999997</v>
      </c>
      <c r="H38" s="34">
        <v>6.8816866399999999</v>
      </c>
      <c r="I38" s="34">
        <v>5.5389640300000016</v>
      </c>
      <c r="J38" s="34">
        <v>4.8387108100000003</v>
      </c>
      <c r="K38" s="34">
        <v>4.0060134499999993</v>
      </c>
      <c r="L38" s="34">
        <v>4.6474077500000002</v>
      </c>
      <c r="M38" s="34">
        <v>4.4885480599999985</v>
      </c>
      <c r="N38" s="34">
        <v>4.7038351</v>
      </c>
      <c r="O38" s="34">
        <v>4.3577360499999998</v>
      </c>
      <c r="P38" s="34">
        <f>+SUM(D38:O38)</f>
        <v>61.616839499999998</v>
      </c>
      <c r="R38" s="14"/>
      <c r="T38" s="52">
        <f>+SUM('Impo 2016'!D38:K38)</f>
        <v>103.80614382000002</v>
      </c>
      <c r="W38" s="2"/>
    </row>
    <row r="39" spans="2:23" s="3" customFormat="1" ht="18" customHeight="1" thickTop="1" thickBot="1">
      <c r="B39" s="260"/>
      <c r="C39" s="29" t="s">
        <v>59</v>
      </c>
      <c r="D39" s="34">
        <v>5.6978226999999997</v>
      </c>
      <c r="E39" s="34">
        <v>6.1437926499999991</v>
      </c>
      <c r="F39" s="34">
        <v>7.4105862699999996</v>
      </c>
      <c r="G39" s="34">
        <v>7.9975082300000002</v>
      </c>
      <c r="H39" s="34">
        <v>9.8968179499999991</v>
      </c>
      <c r="I39" s="34">
        <v>6.7840605700000003</v>
      </c>
      <c r="J39" s="34">
        <v>7.4957758399999994</v>
      </c>
      <c r="K39" s="34">
        <v>6.0026239600000002</v>
      </c>
      <c r="L39" s="34">
        <v>6.1843860299999998</v>
      </c>
      <c r="M39" s="34">
        <v>7.0458538600000011</v>
      </c>
      <c r="N39" s="34">
        <v>5.9015010099999996</v>
      </c>
      <c r="O39" s="34">
        <v>6.7598820199999992</v>
      </c>
      <c r="P39" s="34">
        <f>+SUM(D39:O39)</f>
        <v>83.32061109</v>
      </c>
      <c r="R39" s="14"/>
      <c r="T39" s="52">
        <f>+SUM('Impo 2016'!D39:K39)</f>
        <v>144.05278456000002</v>
      </c>
      <c r="W39" s="2"/>
    </row>
    <row r="40" spans="2:23" s="3" customFormat="1" ht="18" customHeight="1" thickTop="1" thickBot="1">
      <c r="B40" s="260"/>
      <c r="C40" s="29" t="s">
        <v>60</v>
      </c>
      <c r="D40" s="52">
        <v>1.22656E-2</v>
      </c>
      <c r="E40" s="52">
        <v>0</v>
      </c>
      <c r="F40" s="52">
        <v>8.6461000000000003E-4</v>
      </c>
      <c r="G40" s="52">
        <v>1.065309E-2</v>
      </c>
      <c r="H40" s="52">
        <v>0</v>
      </c>
      <c r="I40" s="52">
        <v>1.2E-2</v>
      </c>
      <c r="J40" s="52">
        <v>8.5918000000000008E-4</v>
      </c>
      <c r="K40" s="52">
        <v>2.1552899999999998E-3</v>
      </c>
      <c r="L40" s="52">
        <v>3.1911709999999996E-2</v>
      </c>
      <c r="M40" s="52">
        <v>1.7612310000000003E-2</v>
      </c>
      <c r="N40" s="52">
        <v>4.8270500000000003E-3</v>
      </c>
      <c r="O40" s="52">
        <v>9.8847000000000015E-3</v>
      </c>
      <c r="P40" s="34">
        <f>+SUM(D40:O40)</f>
        <v>0.10303353999999999</v>
      </c>
      <c r="R40" s="14"/>
      <c r="T40" s="52">
        <f>+SUM('Impo 2016'!D40:K40)</f>
        <v>1.82549626</v>
      </c>
      <c r="W40" s="2"/>
    </row>
    <row r="41" spans="2:23" s="3" customFormat="1" ht="18" customHeight="1" thickTop="1" thickBot="1">
      <c r="B41" s="260"/>
      <c r="C41" s="29" t="s">
        <v>139</v>
      </c>
      <c r="D41" s="52">
        <f t="shared" ref="D41:I41" si="17">+D38+D39+D40</f>
        <v>10.316090169999999</v>
      </c>
      <c r="E41" s="52">
        <f t="shared" si="17"/>
        <v>10.56049387</v>
      </c>
      <c r="F41" s="52">
        <f t="shared" si="17"/>
        <v>12.785921720000001</v>
      </c>
      <c r="G41" s="52">
        <f t="shared" si="17"/>
        <v>15.764925</v>
      </c>
      <c r="H41" s="52">
        <f t="shared" si="17"/>
        <v>16.778504589999997</v>
      </c>
      <c r="I41" s="52">
        <f t="shared" si="17"/>
        <v>12.335024600000002</v>
      </c>
      <c r="J41" s="52">
        <f t="shared" ref="J41:O41" si="18">+J38+J39+J40</f>
        <v>12.33534583</v>
      </c>
      <c r="K41" s="52">
        <f t="shared" si="18"/>
        <v>10.010792699999998</v>
      </c>
      <c r="L41" s="52">
        <f t="shared" si="18"/>
        <v>10.863705489999999</v>
      </c>
      <c r="M41" s="52">
        <f t="shared" si="18"/>
        <v>11.552014230000001</v>
      </c>
      <c r="N41" s="52">
        <f t="shared" si="18"/>
        <v>10.610163159999999</v>
      </c>
      <c r="O41" s="52">
        <f t="shared" si="18"/>
        <v>11.12750277</v>
      </c>
      <c r="P41" s="34">
        <f>+P38+P39+P40</f>
        <v>145.04048413000001</v>
      </c>
      <c r="R41" s="46">
        <f>P41-T41</f>
        <v>-104.64394051000002</v>
      </c>
      <c r="T41" s="52">
        <f>+SUM('Impo 2016'!D41:K41)</f>
        <v>249.68442464000003</v>
      </c>
      <c r="W41" s="61">
        <f t="shared" ref="W41" si="19">+D41+E41+F41+G41+H41+I41+J41+K41+L41+M41+N41+O41</f>
        <v>145.04048413000001</v>
      </c>
    </row>
    <row r="42" spans="2:23" s="3" customFormat="1" ht="18" customHeight="1" thickTop="1" thickBot="1">
      <c r="B42" s="260"/>
      <c r="C42" s="32" t="s">
        <v>81</v>
      </c>
      <c r="D42" s="35">
        <f>+(D41-'Expo 2015'!D41)/'Expo 2015'!D41</f>
        <v>-0.12122644412425748</v>
      </c>
      <c r="E42" s="35">
        <f>+(E41-'Expo 2015'!E41)/'Expo 2015'!E41</f>
        <v>6.5407357364972399E-2</v>
      </c>
      <c r="F42" s="35">
        <f>+(F41-'Expo 2015'!F41)/'Expo 2015'!F41</f>
        <v>0.12505378860891952</v>
      </c>
      <c r="G42" s="35">
        <f>+(G41-'Expo 2015'!G41)/'Expo 2015'!G41</f>
        <v>0.35780585928494579</v>
      </c>
      <c r="H42" s="35">
        <f>+(H41-'Expo 2015'!H41)/'Expo 2015'!H41</f>
        <v>0.20350518211537111</v>
      </c>
      <c r="I42" s="35">
        <f>+(I41-'Expo 2015'!I41)/'Expo 2015'!I41</f>
        <v>1.4624551136258436E-2</v>
      </c>
      <c r="J42" s="35">
        <f>+(J41-'Expo 2015'!J41)/'Expo 2015'!J41</f>
        <v>0.13213157422316474</v>
      </c>
      <c r="K42" s="35">
        <f>+(K41-'Expo 2015'!K41)/'Expo 2015'!K41</f>
        <v>-4.1307866559266382E-2</v>
      </c>
      <c r="L42" s="35">
        <f>+(L41-'Expo 2015'!L41)/'Expo 2015'!L41</f>
        <v>0.15698965606060172</v>
      </c>
      <c r="M42" s="35">
        <f>+(M41-'Expo 2015'!M41)/'Expo 2015'!M41</f>
        <v>5.4993802033204885E-2</v>
      </c>
      <c r="N42" s="35">
        <f>+(N41-'Expo 2015'!N41)/'Expo 2015'!N41</f>
        <v>-2.8974396509592115E-2</v>
      </c>
      <c r="O42" s="35">
        <f>+(O41-'Expo 2015'!O41)/'Expo 2015'!O41</f>
        <v>0.18700414380989969</v>
      </c>
      <c r="P42" s="35">
        <f>+(P41-'Expo 2015'!P41)/'Expo 2015'!P41</f>
        <v>9.2964464440267791E-2</v>
      </c>
      <c r="R42" s="14"/>
      <c r="T42" s="35">
        <f>+SUM('Impo 2016'!D42:K42)</f>
        <v>0.11094574593436052</v>
      </c>
      <c r="W42" s="2"/>
    </row>
    <row r="43" spans="2:23" s="3" customFormat="1" ht="18" customHeight="1" thickTop="1" thickBot="1">
      <c r="B43" s="260" t="s">
        <v>11</v>
      </c>
      <c r="C43" s="31" t="s">
        <v>65</v>
      </c>
      <c r="D43" s="52">
        <v>6.858803</v>
      </c>
      <c r="E43" s="52">
        <v>12.363951</v>
      </c>
      <c r="F43" s="52">
        <v>13.190785</v>
      </c>
      <c r="G43" s="52">
        <v>10.736468</v>
      </c>
      <c r="H43" s="52">
        <v>14.408818</v>
      </c>
      <c r="I43" s="52">
        <v>17.006214</v>
      </c>
      <c r="J43" s="52">
        <v>12.289652</v>
      </c>
      <c r="K43" s="52">
        <v>10.888268</v>
      </c>
      <c r="L43" s="34">
        <v>11.469937</v>
      </c>
      <c r="M43" s="34">
        <v>10.876751000000001</v>
      </c>
      <c r="N43" s="34">
        <v>10.031343</v>
      </c>
      <c r="O43" s="34">
        <v>12.768781000000001</v>
      </c>
      <c r="P43" s="34">
        <f>+SUM(D43:O43)</f>
        <v>142.889771</v>
      </c>
      <c r="R43" s="14"/>
      <c r="T43" s="52">
        <f>+SUM('Impo 2016'!D43:K43)</f>
        <v>211.70177800000002</v>
      </c>
      <c r="W43" s="2"/>
    </row>
    <row r="44" spans="2:23" s="3" customFormat="1" ht="18" customHeight="1" thickTop="1" thickBot="1">
      <c r="B44" s="260"/>
      <c r="C44" s="29" t="s">
        <v>59</v>
      </c>
      <c r="D44" s="52">
        <v>5.0731840000000004</v>
      </c>
      <c r="E44" s="52">
        <v>4.710159</v>
      </c>
      <c r="F44" s="52">
        <v>5.2959360000000002</v>
      </c>
      <c r="G44" s="52">
        <v>4.9487759999999996</v>
      </c>
      <c r="H44" s="52">
        <v>5.5235950000000003</v>
      </c>
      <c r="I44" s="52">
        <v>6.6018230000000004</v>
      </c>
      <c r="J44" s="52">
        <v>5.582897</v>
      </c>
      <c r="K44" s="52">
        <v>7.8361580000000002</v>
      </c>
      <c r="L44" s="34">
        <v>6.6989260000000002</v>
      </c>
      <c r="M44" s="34">
        <v>8.5673379999999995</v>
      </c>
      <c r="N44" s="34">
        <v>4.8684719999999997</v>
      </c>
      <c r="O44" s="34">
        <v>8.6419119999999996</v>
      </c>
      <c r="P44" s="34">
        <f>+SUM(D44:O44)</f>
        <v>74.349176</v>
      </c>
      <c r="R44" s="14"/>
      <c r="T44" s="52">
        <f>+SUM('Impo 2016'!D44:K44)</f>
        <v>252.39604700000001</v>
      </c>
      <c r="W44" s="2"/>
    </row>
    <row r="45" spans="2:23" s="3" customFormat="1" ht="18" customHeight="1" thickTop="1" thickBot="1">
      <c r="B45" s="260"/>
      <c r="C45" s="29" t="s">
        <v>60</v>
      </c>
      <c r="D45" s="52">
        <v>0.17225199999999999</v>
      </c>
      <c r="E45" s="52">
        <v>0.123595</v>
      </c>
      <c r="F45" s="52">
        <v>9.9423999999999998E-2</v>
      </c>
      <c r="G45" s="52">
        <v>0.12672900000000001</v>
      </c>
      <c r="H45" s="52">
        <v>0.210233</v>
      </c>
      <c r="I45" s="52">
        <v>8.0251000000000003E-2</v>
      </c>
      <c r="J45" s="52">
        <v>0.215618</v>
      </c>
      <c r="K45" s="52">
        <v>0.120197</v>
      </c>
      <c r="L45" s="52">
        <v>0.10643900000000001</v>
      </c>
      <c r="M45" s="52">
        <v>0.32525100000000001</v>
      </c>
      <c r="N45" s="52">
        <v>0.205182</v>
      </c>
      <c r="O45" s="52">
        <v>0.13346</v>
      </c>
      <c r="P45" s="34">
        <f>+SUM(D45:O45)</f>
        <v>1.918631</v>
      </c>
      <c r="R45" s="14"/>
      <c r="T45" s="52">
        <f>+SUM('Impo 2016'!D45:K45)</f>
        <v>3.9931229999999998</v>
      </c>
      <c r="W45" s="2"/>
    </row>
    <row r="46" spans="2:23" s="3" customFormat="1" ht="18" customHeight="1" thickTop="1" thickBot="1">
      <c r="B46" s="260"/>
      <c r="C46" s="29" t="s">
        <v>139</v>
      </c>
      <c r="D46" s="52">
        <f t="shared" ref="D46:I46" si="20">+D43+D44+D45</f>
        <v>12.104239</v>
      </c>
      <c r="E46" s="52">
        <f t="shared" si="20"/>
        <v>17.197705000000003</v>
      </c>
      <c r="F46" s="52">
        <f t="shared" si="20"/>
        <v>18.586144999999998</v>
      </c>
      <c r="G46" s="52">
        <f t="shared" si="20"/>
        <v>15.811973</v>
      </c>
      <c r="H46" s="52">
        <f t="shared" si="20"/>
        <v>20.142645999999999</v>
      </c>
      <c r="I46" s="52">
        <f t="shared" si="20"/>
        <v>23.688288</v>
      </c>
      <c r="J46" s="52">
        <f t="shared" ref="J46:P46" si="21">+J43+J44+J45</f>
        <v>18.088166999999999</v>
      </c>
      <c r="K46" s="52">
        <f t="shared" si="21"/>
        <v>18.844623000000002</v>
      </c>
      <c r="L46" s="52">
        <f t="shared" si="21"/>
        <v>18.275302000000003</v>
      </c>
      <c r="M46" s="52">
        <f t="shared" si="21"/>
        <v>19.76934</v>
      </c>
      <c r="N46" s="52">
        <f t="shared" si="21"/>
        <v>15.104997000000001</v>
      </c>
      <c r="O46" s="52">
        <f t="shared" si="21"/>
        <v>21.544153000000001</v>
      </c>
      <c r="P46" s="34">
        <f t="shared" si="21"/>
        <v>219.157578</v>
      </c>
      <c r="R46" s="46">
        <f>P46-T46</f>
        <v>-248.93337000000002</v>
      </c>
      <c r="T46" s="52">
        <f>+SUM('Impo 2016'!D46:K46)</f>
        <v>468.09094800000003</v>
      </c>
      <c r="W46" s="61">
        <f t="shared" ref="W46" si="22">+D46+E46+F46+G46+H46+I46+J46+K46+L46+M46+N46+O46</f>
        <v>219.157578</v>
      </c>
    </row>
    <row r="47" spans="2:23" s="3" customFormat="1" ht="18" customHeight="1" thickTop="1" thickBot="1">
      <c r="B47" s="260"/>
      <c r="C47" s="32" t="s">
        <v>81</v>
      </c>
      <c r="D47" s="35">
        <f>+(D46-'Expo 2015'!D46)/'Expo 2015'!D46</f>
        <v>0.10215903811752328</v>
      </c>
      <c r="E47" s="35">
        <f>+(E46-'Expo 2015'!E46)/'Expo 2015'!E46</f>
        <v>0.28870238677051424</v>
      </c>
      <c r="F47" s="35">
        <f>+(F46-'Expo 2015'!F46)/'Expo 2015'!F46</f>
        <v>8.9736133001884558E-2</v>
      </c>
      <c r="G47" s="35">
        <f>+(G46-'Expo 2015'!G46)/'Expo 2015'!G46</f>
        <v>-2.0761113671237265E-2</v>
      </c>
      <c r="H47" s="35">
        <f>+(H46-'Expo 2015'!H46)/'Expo 2015'!H46</f>
        <v>0.28563283409377177</v>
      </c>
      <c r="I47" s="35">
        <f>+(I46-'Expo 2015'!I46)/'Expo 2015'!I46</f>
        <v>0.45003961728430142</v>
      </c>
      <c r="J47" s="35">
        <f>+(J46-'Expo 2015'!J46)/'Expo 2015'!J46</f>
        <v>0.14116809159947016</v>
      </c>
      <c r="K47" s="35">
        <f>+(K46-'Expo 2015'!K46)/'Expo 2015'!K46</f>
        <v>0.14051146289907673</v>
      </c>
      <c r="L47" s="35">
        <f>+(L46-'Expo 2015'!L46)/'Expo 2015'!L46</f>
        <v>0.20695713599715451</v>
      </c>
      <c r="M47" s="35">
        <f>+(M46-'Expo 2015'!M46)/'Expo 2015'!M46</f>
        <v>0.47341635619796096</v>
      </c>
      <c r="N47" s="35">
        <f>+(N46-'Expo 2015'!N46)/'Expo 2015'!N46</f>
        <v>0.10245836220855178</v>
      </c>
      <c r="O47" s="35">
        <f>+(O46-'Expo 2015'!O46)/'Expo 2015'!O46</f>
        <v>0.77938044401768114</v>
      </c>
      <c r="P47" s="35">
        <f>+(P46-'Expo 2015'!P46)/'Expo 2015'!P46</f>
        <v>0.24326880583840405</v>
      </c>
      <c r="R47" s="14"/>
      <c r="T47" s="35">
        <f>+SUM('Impo 2016'!D47:K47)</f>
        <v>1.9191241824386094</v>
      </c>
      <c r="W47" s="2"/>
    </row>
    <row r="48" spans="2:23" ht="18" customHeight="1" thickTop="1" thickBot="1">
      <c r="B48" s="260" t="s">
        <v>86</v>
      </c>
      <c r="C48" s="31" t="s">
        <v>65</v>
      </c>
      <c r="D48" s="52">
        <v>4.9086352299999998</v>
      </c>
      <c r="E48" s="52">
        <v>2.1042587000000004</v>
      </c>
      <c r="F48" s="52">
        <v>2.2574202099999998</v>
      </c>
      <c r="G48" s="52">
        <v>3.6002614499999996</v>
      </c>
      <c r="H48" s="52">
        <v>4.5916036299999998</v>
      </c>
      <c r="I48" s="52">
        <v>3.5831008799999999</v>
      </c>
      <c r="J48" s="52">
        <v>1.8893882900000001</v>
      </c>
      <c r="K48" s="52">
        <v>1.45084178</v>
      </c>
      <c r="L48" s="52">
        <v>0.97526899</v>
      </c>
      <c r="M48" s="52">
        <v>2.8654777999999999</v>
      </c>
      <c r="N48" s="52">
        <v>3.5447058</v>
      </c>
      <c r="O48" s="52">
        <v>4.8344312399999998</v>
      </c>
      <c r="P48" s="34">
        <f>+SUM(D48:O48)</f>
        <v>36.605393999999997</v>
      </c>
      <c r="R48" s="14"/>
      <c r="S48" s="12">
        <f>+AVERAGE(D48:E48)</f>
        <v>3.5064469650000003</v>
      </c>
      <c r="T48" s="53">
        <f>+SUM('Impo 2016'!D48:K48)</f>
        <v>126.93404508000002</v>
      </c>
    </row>
    <row r="49" spans="2:23" ht="18" customHeight="1" thickTop="1" thickBot="1">
      <c r="B49" s="260"/>
      <c r="C49" s="29" t="s">
        <v>59</v>
      </c>
      <c r="D49" s="52">
        <v>3.3435810699999999</v>
      </c>
      <c r="E49" s="52">
        <v>2.3931442200000008</v>
      </c>
      <c r="F49" s="52">
        <v>2.5138055800000001</v>
      </c>
      <c r="G49" s="52">
        <v>3.7867926999999999</v>
      </c>
      <c r="H49" s="52">
        <v>6.5265235000000006</v>
      </c>
      <c r="I49" s="52">
        <v>4.0041202299999998</v>
      </c>
      <c r="J49" s="52">
        <v>5.2786324100000002</v>
      </c>
      <c r="K49" s="52">
        <v>3.0326095000000004</v>
      </c>
      <c r="L49" s="52">
        <v>2.7498431100000005</v>
      </c>
      <c r="M49" s="52">
        <v>3.1923250300000001</v>
      </c>
      <c r="N49" s="52">
        <v>3.7495632999999997</v>
      </c>
      <c r="O49" s="52">
        <v>5.1625611200000012</v>
      </c>
      <c r="P49" s="34">
        <f>+SUM(D49:O49)</f>
        <v>45.733501769999997</v>
      </c>
      <c r="R49" s="14"/>
      <c r="S49" s="12">
        <f>+AVERAGE(D49:E49)</f>
        <v>2.8683626450000004</v>
      </c>
      <c r="T49" s="53">
        <f>+SUM('Impo 2016'!D49:K49)</f>
        <v>141.35989873</v>
      </c>
    </row>
    <row r="50" spans="2:23" ht="18" customHeight="1" thickTop="1" thickBot="1">
      <c r="B50" s="260"/>
      <c r="C50" s="29" t="s">
        <v>60</v>
      </c>
      <c r="D50" s="52">
        <v>3.6379800000000004E-2</v>
      </c>
      <c r="E50" s="52">
        <v>0.14316752000000002</v>
      </c>
      <c r="F50" s="52">
        <v>0.23444439999999997</v>
      </c>
      <c r="G50" s="52">
        <v>0.21817904999999999</v>
      </c>
      <c r="H50" s="52">
        <v>0.27709856999999999</v>
      </c>
      <c r="I50" s="52">
        <v>0.22632711999999999</v>
      </c>
      <c r="J50" s="52">
        <v>0.12399613999999999</v>
      </c>
      <c r="K50" s="52">
        <v>0.21021222000000001</v>
      </c>
      <c r="L50" s="52">
        <v>3.5318750000000003E-2</v>
      </c>
      <c r="M50" s="52">
        <v>0.26301163999999999</v>
      </c>
      <c r="N50" s="52">
        <v>0.17916660000000001</v>
      </c>
      <c r="O50" s="52">
        <v>0.20157382000000001</v>
      </c>
      <c r="P50" s="34">
        <f>+SUM(D50:O50)</f>
        <v>2.14887563</v>
      </c>
      <c r="R50" s="14"/>
      <c r="S50" s="12">
        <f>+AVERAGE(D50:E50)</f>
        <v>8.9773660000000005E-2</v>
      </c>
      <c r="T50" s="53">
        <f>+SUM('Impo 2016'!D50:K50)</f>
        <v>1.3413473200000001</v>
      </c>
    </row>
    <row r="51" spans="2:23" ht="18" customHeight="1" thickTop="1" thickBot="1">
      <c r="B51" s="260"/>
      <c r="C51" s="29" t="s">
        <v>139</v>
      </c>
      <c r="D51" s="52">
        <f t="shared" ref="D51:I51" si="23">+D48+D49+D50</f>
        <v>8.2885961000000012</v>
      </c>
      <c r="E51" s="52">
        <f t="shared" si="23"/>
        <v>4.6405704400000012</v>
      </c>
      <c r="F51" s="52">
        <f t="shared" si="23"/>
        <v>5.00567019</v>
      </c>
      <c r="G51" s="52">
        <f t="shared" si="23"/>
        <v>7.6052331999999989</v>
      </c>
      <c r="H51" s="52">
        <f t="shared" si="23"/>
        <v>11.395225700000001</v>
      </c>
      <c r="I51" s="52">
        <f t="shared" si="23"/>
        <v>7.8135482299999994</v>
      </c>
      <c r="J51" s="52">
        <f t="shared" ref="J51:P51" si="24">+J48+J49+J50</f>
        <v>7.2920168400000005</v>
      </c>
      <c r="K51" s="52">
        <f t="shared" si="24"/>
        <v>4.6936635000000004</v>
      </c>
      <c r="L51" s="52">
        <f t="shared" si="24"/>
        <v>3.7604308500000005</v>
      </c>
      <c r="M51" s="52">
        <f t="shared" si="24"/>
        <v>6.3208144700000002</v>
      </c>
      <c r="N51" s="52">
        <f t="shared" si="24"/>
        <v>7.4734356999999996</v>
      </c>
      <c r="O51" s="52">
        <f t="shared" si="24"/>
        <v>10.19856618</v>
      </c>
      <c r="P51" s="34">
        <f t="shared" si="24"/>
        <v>84.4877714</v>
      </c>
      <c r="Q51" s="4" t="s">
        <v>17</v>
      </c>
      <c r="R51" s="46">
        <f>P51-T51</f>
        <v>-185.14751973000006</v>
      </c>
      <c r="T51" s="53">
        <f>+SUM('Impo 2016'!D51:K51)</f>
        <v>269.63529113000004</v>
      </c>
      <c r="W51" s="61">
        <f t="shared" ref="W51" si="25">+D51+E51+F51+G51+H51+I51+J51+K51+L51+M51+N51+O51</f>
        <v>84.4877714</v>
      </c>
    </row>
    <row r="52" spans="2:23" ht="18" customHeight="1" thickTop="1" thickBot="1">
      <c r="B52" s="260"/>
      <c r="C52" s="32" t="s">
        <v>81</v>
      </c>
      <c r="D52" s="35">
        <f>+(D51-'Expo 2015'!D51)/'Expo 2015'!D51</f>
        <v>0.24158812824647635</v>
      </c>
      <c r="E52" s="35">
        <f>+(E51-'Expo 2015'!E51)/'Expo 2015'!E51</f>
        <v>0.18248870809862486</v>
      </c>
      <c r="F52" s="35">
        <f>+(F51-'Expo 2015'!F51)/'Expo 2015'!F51</f>
        <v>-0.41238173514769871</v>
      </c>
      <c r="G52" s="35">
        <f>+(G51-'Expo 2015'!G51)/'Expo 2015'!G51</f>
        <v>-0.20127575696950148</v>
      </c>
      <c r="H52" s="35">
        <f>+(H51-'Expo 2015'!H51)/'Expo 2015'!H51</f>
        <v>0.52912070100557596</v>
      </c>
      <c r="I52" s="35">
        <f>+(I51-'Expo 2015'!I51)/'Expo 2015'!I51</f>
        <v>-9.5847603543793694E-2</v>
      </c>
      <c r="J52" s="35">
        <f>+(J51-'Expo 2015'!J51)/'Expo 2015'!J51</f>
        <v>-0.45122156229008037</v>
      </c>
      <c r="K52" s="35">
        <f>+(K51-'Expo 2015'!K51)/'Expo 2015'!K51</f>
        <v>-0.11857060948727616</v>
      </c>
      <c r="L52" s="35">
        <f>+(L51-'Expo 2015'!L51)/'Expo 2015'!L51</f>
        <v>-0.51796581988583745</v>
      </c>
      <c r="M52" s="35">
        <f>+(M51-'Expo 2015'!M51)/'Expo 2015'!M51</f>
        <v>0.90567986511165222</v>
      </c>
      <c r="N52" s="35">
        <f>+(N51-'Expo 2015'!N51)/'Expo 2015'!N51</f>
        <v>-3.1520946284759634E-2</v>
      </c>
      <c r="O52" s="35">
        <f>+(O51-'Expo 2015'!O51)/'Expo 2015'!O51</f>
        <v>0.96088327338410096</v>
      </c>
      <c r="P52" s="35">
        <f>+(P51-'Expo 2015'!P51)/'Expo 2015'!P51</f>
        <v>-3.3132252609887849E-2</v>
      </c>
      <c r="R52" s="14"/>
      <c r="T52" s="35">
        <f>+SUM('Impo 2016'!D52:K52)</f>
        <v>1.3972660768344092</v>
      </c>
    </row>
    <row r="53" spans="2:23" ht="18" customHeight="1" thickTop="1" thickBot="1">
      <c r="B53" s="260" t="s">
        <v>43</v>
      </c>
      <c r="C53" s="31" t="s">
        <v>65</v>
      </c>
      <c r="D53" s="34">
        <v>111.07734648600001</v>
      </c>
      <c r="E53" s="34">
        <v>95.750930721999993</v>
      </c>
      <c r="F53" s="34">
        <v>99.966694743000005</v>
      </c>
      <c r="G53" s="34">
        <v>113.59505778800001</v>
      </c>
      <c r="H53" s="34">
        <v>119.93552469799999</v>
      </c>
      <c r="I53" s="34">
        <v>122.1812779255</v>
      </c>
      <c r="J53" s="34">
        <v>92.239919738999987</v>
      </c>
      <c r="K53" s="34">
        <v>120.45207167599999</v>
      </c>
      <c r="L53" s="34">
        <v>115.28087838</v>
      </c>
      <c r="M53" s="34">
        <v>85.621556534999996</v>
      </c>
      <c r="N53" s="34">
        <v>102.72151034700001</v>
      </c>
      <c r="O53" s="34">
        <v>114.62664560299999</v>
      </c>
      <c r="P53" s="34">
        <f>+SUM(D53:O53)</f>
        <v>1293.4494146425</v>
      </c>
      <c r="R53" s="14"/>
      <c r="T53" s="52">
        <f>+SUM('Impo 2016'!D53:K53)</f>
        <v>1000.838762538</v>
      </c>
    </row>
    <row r="54" spans="2:23" ht="18" customHeight="1" thickTop="1" thickBot="1">
      <c r="B54" s="260"/>
      <c r="C54" s="29" t="s">
        <v>59</v>
      </c>
      <c r="D54" s="34">
        <v>85.682083789000018</v>
      </c>
      <c r="E54" s="34">
        <v>123.206701263</v>
      </c>
      <c r="F54" s="34">
        <v>119.969698108</v>
      </c>
      <c r="G54" s="34">
        <v>90.796848741000005</v>
      </c>
      <c r="H54" s="34">
        <v>86.280956242000002</v>
      </c>
      <c r="I54" s="34">
        <v>84.826485495</v>
      </c>
      <c r="J54" s="34">
        <v>83.738267909000001</v>
      </c>
      <c r="K54" s="34">
        <v>76.91380440799999</v>
      </c>
      <c r="L54" s="34">
        <v>82.749782939000013</v>
      </c>
      <c r="M54" s="34">
        <v>84.987659383999997</v>
      </c>
      <c r="N54" s="34">
        <v>89.344718760999996</v>
      </c>
      <c r="O54" s="34">
        <v>136.05664588120004</v>
      </c>
      <c r="P54" s="34">
        <f>+SUM(D54:O54)</f>
        <v>1144.5536529202002</v>
      </c>
      <c r="R54" s="14"/>
      <c r="T54" s="52">
        <f>+SUM('Impo 2016'!D54:K54)</f>
        <v>5222.9944148449995</v>
      </c>
    </row>
    <row r="55" spans="2:23" ht="18" customHeight="1" thickTop="1" thickBot="1">
      <c r="B55" s="260"/>
      <c r="C55" s="29" t="s">
        <v>60</v>
      </c>
      <c r="D55" s="34">
        <v>55.850391205999991</v>
      </c>
      <c r="E55" s="34">
        <v>48.399424770999993</v>
      </c>
      <c r="F55" s="34">
        <v>35.030390261000001</v>
      </c>
      <c r="G55" s="34">
        <v>50.609740855000005</v>
      </c>
      <c r="H55" s="34">
        <v>51.751278810999999</v>
      </c>
      <c r="I55" s="34">
        <v>62.657751074999986</v>
      </c>
      <c r="J55" s="34">
        <v>58.935041650000009</v>
      </c>
      <c r="K55" s="34">
        <v>62.801808451999996</v>
      </c>
      <c r="L55" s="34">
        <v>53.533074114000009</v>
      </c>
      <c r="M55" s="34">
        <v>67.939118348000008</v>
      </c>
      <c r="N55" s="34">
        <v>79.185626055000014</v>
      </c>
      <c r="O55" s="34">
        <v>69.535157333000015</v>
      </c>
      <c r="P55" s="34">
        <f>+SUM(D55:O55)</f>
        <v>696.22880293100002</v>
      </c>
      <c r="R55" s="14"/>
      <c r="T55" s="52">
        <f>+SUM('Impo 2016'!D55:K55)</f>
        <v>71.099643623999995</v>
      </c>
    </row>
    <row r="56" spans="2:23" ht="18" customHeight="1" thickTop="1" thickBot="1">
      <c r="B56" s="260"/>
      <c r="C56" s="29" t="s">
        <v>139</v>
      </c>
      <c r="D56" s="52">
        <f t="shared" ref="D56:P56" si="26">+D53+D54+D55</f>
        <v>252.60982148100001</v>
      </c>
      <c r="E56" s="52">
        <f t="shared" si="26"/>
        <v>267.35705675599996</v>
      </c>
      <c r="F56" s="52">
        <f t="shared" si="26"/>
        <v>254.966783112</v>
      </c>
      <c r="G56" s="52">
        <f t="shared" si="26"/>
        <v>255.00164738400002</v>
      </c>
      <c r="H56" s="52">
        <f t="shared" si="26"/>
        <v>257.96775975100002</v>
      </c>
      <c r="I56" s="52">
        <f t="shared" si="26"/>
        <v>269.66551449549996</v>
      </c>
      <c r="J56" s="52">
        <f t="shared" si="26"/>
        <v>234.913229298</v>
      </c>
      <c r="K56" s="52">
        <f t="shared" si="26"/>
        <v>260.16768453599997</v>
      </c>
      <c r="L56" s="52">
        <f t="shared" si="26"/>
        <v>251.56373543300003</v>
      </c>
      <c r="M56" s="52">
        <f t="shared" si="26"/>
        <v>238.54833426700003</v>
      </c>
      <c r="N56" s="52">
        <f t="shared" si="26"/>
        <v>271.25185516300002</v>
      </c>
      <c r="O56" s="52">
        <f t="shared" si="26"/>
        <v>320.21844881720006</v>
      </c>
      <c r="P56" s="34">
        <f t="shared" si="26"/>
        <v>3134.2318704937006</v>
      </c>
      <c r="Q56" s="4" t="s">
        <v>17</v>
      </c>
      <c r="R56" s="46">
        <f>P56-T56</f>
        <v>-3160.7009505132983</v>
      </c>
      <c r="T56" s="52">
        <f>+SUM('Impo 2016'!D56:K56)</f>
        <v>6294.9328210069989</v>
      </c>
      <c r="W56" s="61">
        <f t="shared" ref="W56" si="27">+D56+E56+F56+G56+H56+I56+J56+K56+L56+M56+N56+O56</f>
        <v>3134.2318704937002</v>
      </c>
    </row>
    <row r="57" spans="2:23" ht="18" customHeight="1" thickTop="1" thickBot="1">
      <c r="B57" s="260"/>
      <c r="C57" s="32" t="s">
        <v>81</v>
      </c>
      <c r="D57" s="35">
        <f>+(D56-'Expo 2015'!D56)/'Expo 2015'!D56</f>
        <v>-2.9951551643253738E-2</v>
      </c>
      <c r="E57" s="35">
        <f>+(E56-'Expo 2015'!E56)/'Expo 2015'!E56</f>
        <v>0.3284331166917917</v>
      </c>
      <c r="F57" s="35">
        <f>+(F56-'Expo 2015'!F56)/'Expo 2015'!F56</f>
        <v>0.20909557722788943</v>
      </c>
      <c r="G57" s="35">
        <f>+(G56-'Expo 2015'!G56)/'Expo 2015'!G56</f>
        <v>0.30420473734870762</v>
      </c>
      <c r="H57" s="35">
        <f>+(H56-'Expo 2015'!H56)/'Expo 2015'!H56</f>
        <v>0.11677631615071365</v>
      </c>
      <c r="I57" s="35">
        <f>+(I56-'Expo 2015'!I56)/'Expo 2015'!I56</f>
        <v>-1.545652176183651E-2</v>
      </c>
      <c r="J57" s="35">
        <f>+(J56-'Expo 2015'!J56)/'Expo 2015'!J56</f>
        <v>-0.15481682358342466</v>
      </c>
      <c r="K57" s="35">
        <f>+(K56-'Expo 2015'!K56)/'Expo 2015'!K56</f>
        <v>-5.8036571175903717E-2</v>
      </c>
      <c r="L57" s="35">
        <f>+(L56-'Expo 2015'!L56)/'Expo 2015'!L56</f>
        <v>9.7366833799995112E-2</v>
      </c>
      <c r="M57" s="35">
        <f>+(M56-'Expo 2015'!M56)/'Expo 2015'!M56</f>
        <v>2.6200223465282307E-2</v>
      </c>
      <c r="N57" s="35">
        <f>+(N56-'Expo 2015'!N56)/'Expo 2015'!N56</f>
        <v>0.26306579816387904</v>
      </c>
      <c r="O57" s="35">
        <f>+(O56-'Expo 2015'!O56)/'Expo 2015'!O56</f>
        <v>0.40636635940551791</v>
      </c>
      <c r="P57" s="35">
        <f>+(P56-'Expo 2015'!P56)/'Expo 2015'!P56</f>
        <v>7.7157062405539489E-2</v>
      </c>
      <c r="R57" s="14"/>
      <c r="T57" s="35">
        <f>+SUM('Impo 2016'!D57:K57)</f>
        <v>-0.87703537744185256</v>
      </c>
    </row>
    <row r="58" spans="2:23" s="3" customFormat="1" ht="18" customHeight="1" thickTop="1" thickBot="1">
      <c r="B58" s="260" t="s">
        <v>71</v>
      </c>
      <c r="C58" s="31" t="s">
        <v>65</v>
      </c>
      <c r="D58" s="52">
        <v>3.4631500000000003E-2</v>
      </c>
      <c r="E58" s="52">
        <v>0.20083361000000002</v>
      </c>
      <c r="F58" s="52">
        <v>7.2934600000000002E-2</v>
      </c>
      <c r="G58" s="52">
        <v>7.6819039999999991E-2</v>
      </c>
      <c r="H58" s="52">
        <v>5.7175999999999998E-2</v>
      </c>
      <c r="I58" s="52">
        <v>3.3370239999999995E-2</v>
      </c>
      <c r="J58" s="52">
        <v>8.2786669999999993E-2</v>
      </c>
      <c r="K58" s="52">
        <v>5.8256910000000002E-2</v>
      </c>
      <c r="L58" s="52">
        <v>7.0910320000000013E-2</v>
      </c>
      <c r="M58" s="52">
        <v>6.0825100000000007E-2</v>
      </c>
      <c r="N58" s="52">
        <v>5.1945000000000003E-3</v>
      </c>
      <c r="O58" s="52">
        <v>9.5506399999999991E-2</v>
      </c>
      <c r="P58" s="52">
        <f>+SUM(D58:O58)</f>
        <v>0.84924488999999992</v>
      </c>
      <c r="R58" s="14"/>
      <c r="T58" s="52">
        <f>+SUM('Impo 2016'!D58:K58)</f>
        <v>241.18562366</v>
      </c>
      <c r="W58" s="2"/>
    </row>
    <row r="59" spans="2:23" s="3" customFormat="1" ht="18" customHeight="1" thickTop="1" thickBot="1">
      <c r="B59" s="260"/>
      <c r="C59" s="29" t="s">
        <v>59</v>
      </c>
      <c r="D59" s="52">
        <v>0.13737486999999998</v>
      </c>
      <c r="E59" s="52">
        <v>0.16997000000000001</v>
      </c>
      <c r="F59" s="52">
        <v>0.1198135</v>
      </c>
      <c r="G59" s="52">
        <v>3.6741000000000003E-2</v>
      </c>
      <c r="H59" s="52">
        <v>0.28294907000000002</v>
      </c>
      <c r="I59" s="52">
        <v>8.8690000000000005E-2</v>
      </c>
      <c r="J59" s="52">
        <v>5.2123000000000003E-2</v>
      </c>
      <c r="K59" s="52">
        <v>0.18194146000000003</v>
      </c>
      <c r="L59" s="52">
        <v>5.7919870000000005E-2</v>
      </c>
      <c r="M59" s="52">
        <v>8.0594209999999986E-2</v>
      </c>
      <c r="N59" s="52">
        <v>0.16500563000000001</v>
      </c>
      <c r="O59" s="52">
        <v>7.6835980000000012E-2</v>
      </c>
      <c r="P59" s="52">
        <f>+SUM(D59:O59)</f>
        <v>1.4499585900000003</v>
      </c>
      <c r="R59" s="14"/>
      <c r="T59" s="52">
        <f>+SUM('Impo 2016'!D59:K59)</f>
        <v>96.670134029999986</v>
      </c>
      <c r="W59" s="2"/>
    </row>
    <row r="60" spans="2:23" s="3" customFormat="1" ht="18" customHeight="1" thickTop="1" thickBot="1">
      <c r="B60" s="260"/>
      <c r="C60" s="29" t="s">
        <v>60</v>
      </c>
      <c r="D60" s="52">
        <v>2.5999999999999998E-4</v>
      </c>
      <c r="E60" s="52">
        <v>1.074E-2</v>
      </c>
      <c r="F60" s="52">
        <v>1.6826650000000002E-2</v>
      </c>
      <c r="G60" s="52">
        <v>4.4254699999999999E-3</v>
      </c>
      <c r="H60" s="52">
        <v>0</v>
      </c>
      <c r="I60" s="52">
        <v>5.5882500000000002E-2</v>
      </c>
      <c r="J60" s="52">
        <v>2.5520900000000003E-3</v>
      </c>
      <c r="K60" s="52">
        <v>0.85188027</v>
      </c>
      <c r="L60" s="52">
        <v>7.8715999999999994E-2</v>
      </c>
      <c r="M60" s="52">
        <v>3.3201750000000002E-2</v>
      </c>
      <c r="N60" s="52">
        <v>8.6602499999999995E-3</v>
      </c>
      <c r="O60" s="52">
        <v>7.1500000000000001E-3</v>
      </c>
      <c r="P60" s="52">
        <f>+SUM(D60:O60)</f>
        <v>1.0702949799999999</v>
      </c>
      <c r="R60" s="14"/>
      <c r="T60" s="52">
        <f>+SUM('Impo 2016'!D60:K60)</f>
        <v>3.01810052</v>
      </c>
      <c r="W60" s="2"/>
    </row>
    <row r="61" spans="2:23" s="3" customFormat="1" ht="18" customHeight="1" thickTop="1" thickBot="1">
      <c r="B61" s="260"/>
      <c r="C61" s="29" t="s">
        <v>139</v>
      </c>
      <c r="D61" s="52">
        <f t="shared" ref="D61:J61" si="28">+D58+D59+D60</f>
        <v>0.17226637</v>
      </c>
      <c r="E61" s="52">
        <f t="shared" si="28"/>
        <v>0.38154361000000003</v>
      </c>
      <c r="F61" s="52">
        <f t="shared" si="28"/>
        <v>0.20957475</v>
      </c>
      <c r="G61" s="52">
        <f t="shared" si="28"/>
        <v>0.11798551</v>
      </c>
      <c r="H61" s="52">
        <f t="shared" si="28"/>
        <v>0.34012507000000003</v>
      </c>
      <c r="I61" s="52">
        <f t="shared" si="28"/>
        <v>0.17794273999999999</v>
      </c>
      <c r="J61" s="52">
        <f t="shared" si="28"/>
        <v>0.13746175999999999</v>
      </c>
      <c r="K61" s="52">
        <f t="shared" ref="K61:P61" si="29">+K58+K59+K60</f>
        <v>1.09207864</v>
      </c>
      <c r="L61" s="52">
        <f t="shared" si="29"/>
        <v>0.20754619000000002</v>
      </c>
      <c r="M61" s="52">
        <f t="shared" si="29"/>
        <v>0.17462105999999999</v>
      </c>
      <c r="N61" s="52">
        <f t="shared" si="29"/>
        <v>0.17886038000000001</v>
      </c>
      <c r="O61" s="52">
        <f t="shared" si="29"/>
        <v>0.17949238000000001</v>
      </c>
      <c r="P61" s="52">
        <f t="shared" si="29"/>
        <v>3.36949846</v>
      </c>
      <c r="R61" s="46">
        <f>P61-T61</f>
        <v>-337.50435974999999</v>
      </c>
      <c r="T61" s="52">
        <f>+SUM('Impo 2016'!D61:K61)</f>
        <v>340.87385820999998</v>
      </c>
      <c r="W61" s="61">
        <f t="shared" ref="W61" si="30">+D61+E61+F61+G61+H61+I61+J61+K61+L61+M61+N61+O61</f>
        <v>3.3694984600000004</v>
      </c>
    </row>
    <row r="62" spans="2:23" s="3" customFormat="1" ht="18" customHeight="1" thickTop="1" thickBot="1">
      <c r="B62" s="260"/>
      <c r="C62" s="32" t="s">
        <v>81</v>
      </c>
      <c r="D62" s="35">
        <f>+(D61-'Expo 2015'!D61)/'Expo 2015'!D61</f>
        <v>-0.49113026110970504</v>
      </c>
      <c r="E62" s="35">
        <f>+(E61-'Expo 2015'!E61)/'Expo 2015'!E61</f>
        <v>-0.19411511904009313</v>
      </c>
      <c r="F62" s="35">
        <f>+(F61-'Expo 2015'!F61)/'Expo 2015'!F61</f>
        <v>-0.70901609111348451</v>
      </c>
      <c r="G62" s="35">
        <f>+(G61-'Expo 2015'!G61)/'Expo 2015'!G61</f>
        <v>-0.13451780559528126</v>
      </c>
      <c r="H62" s="35">
        <f>+(H61-'Expo 2015'!H61)/'Expo 2015'!H61</f>
        <v>-0.18082323051652399</v>
      </c>
      <c r="I62" s="35">
        <f>+(I61-'Expo 2015'!I61)/'Expo 2015'!I61</f>
        <v>-0.45143008255119488</v>
      </c>
      <c r="J62" s="35">
        <f>+(J61-'Expo 2015'!J61)/'Expo 2015'!J61</f>
        <v>-0.17442858619432369</v>
      </c>
      <c r="K62" s="35">
        <f>+(K61-'Expo 2015'!K61)/'Expo 2015'!K61</f>
        <v>3.8903771919917864</v>
      </c>
      <c r="L62" s="35">
        <f>+(L61-'Expo 2015'!L61)/'Expo 2015'!L61</f>
        <v>-0.46423791484538418</v>
      </c>
      <c r="M62" s="35">
        <f>+(M61-'Expo 2015'!M61)/'Expo 2015'!M61</f>
        <v>-0.32651490704423264</v>
      </c>
      <c r="N62" s="35">
        <f>+(N61-'Expo 2015'!N61)/'Expo 2015'!N61</f>
        <v>-0.67428536100099035</v>
      </c>
      <c r="O62" s="35">
        <f>+(O61-'Expo 2015'!O61)/'Expo 2015'!O61</f>
        <v>-0.59452313263537448</v>
      </c>
      <c r="P62" s="35">
        <f>+(P61-'Expo 2015'!P61)/'Expo 2015'!P61</f>
        <v>-0.24048612868155356</v>
      </c>
      <c r="R62" s="14"/>
      <c r="T62" s="35">
        <f>+SUM('Impo 2016'!D62:K62)</f>
        <v>4.5114399016862858</v>
      </c>
      <c r="W62" s="2"/>
    </row>
    <row r="63" spans="2:23" s="3" customFormat="1" ht="18" customHeight="1" thickTop="1" thickBot="1">
      <c r="B63" s="261" t="s">
        <v>6</v>
      </c>
      <c r="C63" s="31" t="s">
        <v>65</v>
      </c>
      <c r="D63" s="34">
        <v>0</v>
      </c>
      <c r="E63" s="34">
        <v>2.6499999999999999E-2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/>
      <c r="N63" s="34"/>
      <c r="O63" s="34"/>
      <c r="P63" s="34">
        <f>+SUM(D63:O63)</f>
        <v>2.6499999999999999E-2</v>
      </c>
      <c r="R63" s="14"/>
      <c r="T63" s="52">
        <f>+SUM('Impo 2016'!D63:K63)</f>
        <v>70.838410190000005</v>
      </c>
      <c r="W63" s="2"/>
    </row>
    <row r="64" spans="2:23" s="3" customFormat="1" ht="18" customHeight="1" thickTop="1" thickBot="1">
      <c r="B64" s="261"/>
      <c r="C64" s="29" t="s">
        <v>59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/>
      <c r="N64" s="34"/>
      <c r="O64" s="34"/>
      <c r="P64" s="34">
        <f>+SUM(D64:O64)</f>
        <v>0</v>
      </c>
      <c r="R64" s="14"/>
      <c r="T64" s="52">
        <f>+SUM('Impo 2016'!D64:K64)</f>
        <v>106.27648375999999</v>
      </c>
      <c r="W64" s="2"/>
    </row>
    <row r="65" spans="2:23" s="3" customFormat="1" ht="18" customHeight="1" thickTop="1" thickBot="1">
      <c r="B65" s="261"/>
      <c r="C65" s="29" t="s">
        <v>60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/>
      <c r="N65" s="34"/>
      <c r="O65" s="34"/>
      <c r="P65" s="34">
        <f>+SUM(D65:O65)</f>
        <v>0</v>
      </c>
      <c r="R65" s="14"/>
      <c r="T65" s="52">
        <f>+SUM('Impo 2016'!D65:K65)</f>
        <v>1.7417233599999997</v>
      </c>
      <c r="W65" s="2"/>
    </row>
    <row r="66" spans="2:23" s="3" customFormat="1" ht="18" customHeight="1" thickTop="1" thickBot="1">
      <c r="B66" s="261"/>
      <c r="C66" s="29" t="s">
        <v>139</v>
      </c>
      <c r="D66" s="34">
        <f t="shared" ref="D66:L66" si="31">+D63+D64+D65</f>
        <v>0</v>
      </c>
      <c r="E66" s="34">
        <f t="shared" si="31"/>
        <v>2.6499999999999999E-2</v>
      </c>
      <c r="F66" s="34">
        <f t="shared" si="31"/>
        <v>0</v>
      </c>
      <c r="G66" s="34">
        <f t="shared" si="31"/>
        <v>0</v>
      </c>
      <c r="H66" s="34">
        <f t="shared" si="31"/>
        <v>0</v>
      </c>
      <c r="I66" s="34">
        <f t="shared" si="31"/>
        <v>0</v>
      </c>
      <c r="J66" s="34">
        <f t="shared" si="31"/>
        <v>0</v>
      </c>
      <c r="K66" s="34">
        <f t="shared" si="31"/>
        <v>0</v>
      </c>
      <c r="L66" s="34">
        <f t="shared" si="31"/>
        <v>0</v>
      </c>
      <c r="M66" s="34"/>
      <c r="N66" s="34"/>
      <c r="O66" s="34"/>
      <c r="P66" s="34">
        <f>+P63+P64+P65</f>
        <v>2.6499999999999999E-2</v>
      </c>
      <c r="R66" s="46">
        <f>P66-T66</f>
        <v>-178.83011731000002</v>
      </c>
      <c r="T66" s="52">
        <f>+SUM('Impo 2016'!D66:K66)</f>
        <v>178.85661731000002</v>
      </c>
      <c r="W66" s="61">
        <f t="shared" ref="W66" si="32">+D66+E66+F66+G66+H66+I66+J66+K66+L66+M66+N66+O66</f>
        <v>2.6499999999999999E-2</v>
      </c>
    </row>
    <row r="67" spans="2:23" s="3" customFormat="1" ht="18" customHeight="1" thickTop="1" thickBot="1">
      <c r="B67" s="261"/>
      <c r="C67" s="32" t="s">
        <v>81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f>+(P66-'Expo 2015'!P66)/'Expo 2015'!P66</f>
        <v>9.9549400578751541</v>
      </c>
      <c r="R67" s="14"/>
      <c r="T67" s="35">
        <f>+SUM('Impo 2016'!D67:K67)</f>
        <v>-0.3082752548064539</v>
      </c>
      <c r="W67" s="2"/>
    </row>
    <row r="68" spans="2:23" s="3" customFormat="1" ht="18" customHeight="1" thickTop="1" thickBot="1">
      <c r="B68" s="261" t="s">
        <v>44</v>
      </c>
      <c r="C68" s="31" t="s">
        <v>65</v>
      </c>
      <c r="D68" s="34">
        <v>9.5623195299999999</v>
      </c>
      <c r="E68" s="34">
        <v>12.288243400000001</v>
      </c>
      <c r="F68" s="34">
        <v>17.363439270000004</v>
      </c>
      <c r="G68" s="34">
        <v>16.0299105</v>
      </c>
      <c r="H68" s="34">
        <v>13.926662559999997</v>
      </c>
      <c r="I68" s="34">
        <v>36.73805231</v>
      </c>
      <c r="J68" s="34">
        <v>10.431969340000002</v>
      </c>
      <c r="K68" s="34">
        <v>26.796932899999998</v>
      </c>
      <c r="L68" s="34">
        <v>13.137213569999998</v>
      </c>
      <c r="M68" s="34">
        <v>20.770820759999989</v>
      </c>
      <c r="N68" s="34">
        <v>9.9339640100000022</v>
      </c>
      <c r="O68" s="34">
        <v>12.074804009999999</v>
      </c>
      <c r="P68" s="34">
        <f>+SUM(D68:O68)</f>
        <v>199.05433216000003</v>
      </c>
      <c r="R68" s="14"/>
      <c r="T68" s="52">
        <f>+SUM('Impo 2016'!D68:K68)</f>
        <v>576.62908287999949</v>
      </c>
      <c r="W68" s="2"/>
    </row>
    <row r="69" spans="2:23" s="3" customFormat="1" ht="18" customHeight="1" thickTop="1" thickBot="1">
      <c r="B69" s="261"/>
      <c r="C69" s="29" t="s">
        <v>59</v>
      </c>
      <c r="D69" s="52">
        <v>0.50821567000000001</v>
      </c>
      <c r="E69" s="52">
        <v>0.17311485999999998</v>
      </c>
      <c r="F69" s="52">
        <v>0.17024178000000004</v>
      </c>
      <c r="G69" s="52">
        <v>0.24643760999999997</v>
      </c>
      <c r="H69" s="52">
        <v>0.42121692999999993</v>
      </c>
      <c r="I69" s="52">
        <v>0.34221487</v>
      </c>
      <c r="J69" s="52">
        <v>3.8523230000000006E-2</v>
      </c>
      <c r="K69" s="52">
        <v>0.12056587000000001</v>
      </c>
      <c r="L69" s="52">
        <v>0.11799960000000001</v>
      </c>
      <c r="M69" s="52">
        <v>0.39949190000000001</v>
      </c>
      <c r="N69" s="52">
        <v>0.14178635000000001</v>
      </c>
      <c r="O69" s="52">
        <v>7.4132430000000013E-2</v>
      </c>
      <c r="P69" s="34">
        <f>+SUM(D69:O69)</f>
        <v>2.7539411</v>
      </c>
      <c r="R69" s="14"/>
      <c r="T69" s="52">
        <f>+SUM('Impo 2016'!D69:K69)</f>
        <v>571.21341952</v>
      </c>
      <c r="W69" s="2"/>
    </row>
    <row r="70" spans="2:23" s="3" customFormat="1" ht="18" customHeight="1" thickTop="1" thickBot="1">
      <c r="B70" s="261"/>
      <c r="C70" s="29" t="s">
        <v>60</v>
      </c>
      <c r="D70" s="52">
        <v>3.9761169999999998E-2</v>
      </c>
      <c r="E70" s="52">
        <v>5.4179109999999989E-2</v>
      </c>
      <c r="F70" s="52">
        <v>0.13481299999999999</v>
      </c>
      <c r="G70" s="52">
        <v>0.21863235</v>
      </c>
      <c r="H70" s="52">
        <v>5.6957960000000002E-2</v>
      </c>
      <c r="I70" s="52">
        <v>6.6996400000000006E-3</v>
      </c>
      <c r="J70" s="52">
        <v>0.17525129</v>
      </c>
      <c r="K70" s="52">
        <v>8.3662380000000022E-2</v>
      </c>
      <c r="L70" s="52">
        <v>1.482576E-2</v>
      </c>
      <c r="M70" s="52">
        <v>1.8944009999999997E-2</v>
      </c>
      <c r="N70" s="52">
        <v>0.11095797</v>
      </c>
      <c r="O70" s="52">
        <v>2.562733E-2</v>
      </c>
      <c r="P70" s="34">
        <f>+SUM(D70:O70)</f>
        <v>0.94031196999999989</v>
      </c>
      <c r="R70" s="14"/>
      <c r="T70" s="52">
        <f>+SUM('Impo 2016'!D70:K70)</f>
        <v>38.560289449999999</v>
      </c>
      <c r="W70" s="2"/>
    </row>
    <row r="71" spans="2:23" s="3" customFormat="1" ht="18" customHeight="1" thickTop="1" thickBot="1">
      <c r="B71" s="261"/>
      <c r="C71" s="29" t="s">
        <v>139</v>
      </c>
      <c r="D71" s="52">
        <f t="shared" ref="D71:I71" si="33">+D68+D69+D70</f>
        <v>10.11029637</v>
      </c>
      <c r="E71" s="52">
        <f t="shared" si="33"/>
        <v>12.515537370000001</v>
      </c>
      <c r="F71" s="52">
        <f t="shared" si="33"/>
        <v>17.668494050000007</v>
      </c>
      <c r="G71" s="52">
        <f t="shared" si="33"/>
        <v>16.494980460000001</v>
      </c>
      <c r="H71" s="52">
        <f t="shared" si="33"/>
        <v>14.404837449999997</v>
      </c>
      <c r="I71" s="52">
        <f t="shared" si="33"/>
        <v>37.086966820000001</v>
      </c>
      <c r="J71" s="52">
        <f t="shared" ref="J71:P71" si="34">+J68+J69+J70</f>
        <v>10.645743860000001</v>
      </c>
      <c r="K71" s="52">
        <f t="shared" si="34"/>
        <v>27.001161149999998</v>
      </c>
      <c r="L71" s="52">
        <f t="shared" si="34"/>
        <v>13.270038929999998</v>
      </c>
      <c r="M71" s="52">
        <f t="shared" si="34"/>
        <v>21.189256669999988</v>
      </c>
      <c r="N71" s="52">
        <f t="shared" si="34"/>
        <v>10.186708330000002</v>
      </c>
      <c r="O71" s="52">
        <f t="shared" si="34"/>
        <v>12.174563770000001</v>
      </c>
      <c r="P71" s="34">
        <f t="shared" si="34"/>
        <v>202.74858523000003</v>
      </c>
      <c r="R71" s="46">
        <f>P71-T71</f>
        <v>-983.65420661999963</v>
      </c>
      <c r="T71" s="52">
        <f>+SUM('Impo 2016'!D71:K71)</f>
        <v>1186.4027918499996</v>
      </c>
      <c r="W71" s="61">
        <f t="shared" ref="W71" si="35">+D71+E71+F71+G71+H71+I71+J71+K71+L71+M71+N71+O71</f>
        <v>202.74858522999997</v>
      </c>
    </row>
    <row r="72" spans="2:23" s="3" customFormat="1" ht="18" customHeight="1" thickTop="1" thickBot="1">
      <c r="B72" s="261"/>
      <c r="C72" s="32" t="s">
        <v>81</v>
      </c>
      <c r="D72" s="35">
        <f>+(D71-'Expo 2015'!D71)/'Expo 2015'!D71</f>
        <v>0.17861707516257361</v>
      </c>
      <c r="E72" s="35">
        <f>+(E71-'Expo 2015'!E71)/'Expo 2015'!E71</f>
        <v>0.17082579706421219</v>
      </c>
      <c r="F72" s="35">
        <f>+(F71-'Expo 2015'!F71)/'Expo 2015'!F71</f>
        <v>0.37799827433549898</v>
      </c>
      <c r="G72" s="35">
        <f>+(G71-'Expo 2015'!G71)/'Expo 2015'!G71</f>
        <v>0.8880310182379445</v>
      </c>
      <c r="H72" s="35">
        <f>+(H71-'Expo 2015'!H71)/'Expo 2015'!H71</f>
        <v>0.56647302768130503</v>
      </c>
      <c r="I72" s="35">
        <f>+(I71-'Expo 2015'!I71)/'Expo 2015'!I71</f>
        <v>1.1198120863639158</v>
      </c>
      <c r="J72" s="35">
        <f>+(J71-'Expo 2015'!J71)/'Expo 2015'!J71</f>
        <v>-0.57870644141848882</v>
      </c>
      <c r="K72" s="35">
        <f>+(K71-'Expo 2015'!K71)/'Expo 2015'!K71</f>
        <v>1.0319915813001377</v>
      </c>
      <c r="L72" s="35">
        <f>+(L71-'Expo 2015'!L71)/'Expo 2015'!L71</f>
        <v>-2.0323818867249988E-2</v>
      </c>
      <c r="M72" s="35">
        <f>+(M71-'Expo 2015'!M71)/'Expo 2015'!M71</f>
        <v>0.66010444888077502</v>
      </c>
      <c r="N72" s="35">
        <f>+(N71-'Expo 2015'!N71)/'Expo 2015'!N71</f>
        <v>-0.42059818812231314</v>
      </c>
      <c r="O72" s="35">
        <f>+(O71-'Expo 2015'!O71)/'Expo 2015'!O71</f>
        <v>1.3329521146799056E-2</v>
      </c>
      <c r="P72" s="35">
        <f>+(P71-'Expo 2015'!P71)/'Expo 2015'!P71</f>
        <v>0.2516939115494391</v>
      </c>
      <c r="R72" s="14"/>
      <c r="T72" s="35">
        <f>+SUM('Impo 2016'!D72:K72)</f>
        <v>1.3553653531322956</v>
      </c>
      <c r="W72" s="2"/>
    </row>
    <row r="73" spans="2:23" s="3" customFormat="1" ht="18" customHeight="1" thickTop="1" thickBot="1">
      <c r="B73" s="261" t="s">
        <v>7</v>
      </c>
      <c r="C73" s="31" t="s">
        <v>65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34">
        <f>+SUM(D73:O73)</f>
        <v>0</v>
      </c>
      <c r="R73" s="14"/>
      <c r="T73" s="52">
        <f>+SUM('Impo 2016'!D73:K73)</f>
        <v>27.035216179999995</v>
      </c>
      <c r="W73" s="2"/>
    </row>
    <row r="74" spans="2:23" s="3" customFormat="1" ht="18" customHeight="1" thickTop="1" thickBot="1">
      <c r="B74" s="261"/>
      <c r="C74" s="29" t="s">
        <v>59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34">
        <f t="shared" ref="P74:P80" si="36">+SUM(D74:O74)</f>
        <v>0</v>
      </c>
      <c r="R74" s="14"/>
      <c r="T74" s="52">
        <f>+SUM('Impo 2016'!D74:K74)</f>
        <v>52.856983939999999</v>
      </c>
      <c r="W74" s="2"/>
    </row>
    <row r="75" spans="2:23" s="3" customFormat="1" ht="18" customHeight="1" thickTop="1" thickBot="1">
      <c r="B75" s="261"/>
      <c r="C75" s="29" t="s">
        <v>60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34">
        <f t="shared" si="36"/>
        <v>0</v>
      </c>
      <c r="R75" s="14"/>
      <c r="T75" s="52">
        <f>+SUM('Impo 2016'!D75:K75)</f>
        <v>1.4557510600000001</v>
      </c>
      <c r="W75" s="2"/>
    </row>
    <row r="76" spans="2:23" s="3" customFormat="1" ht="18" customHeight="1" thickTop="1" thickBot="1">
      <c r="B76" s="261"/>
      <c r="C76" s="29" t="s">
        <v>139</v>
      </c>
      <c r="D76" s="52">
        <f t="shared" ref="D76:I76" si="37">+D73+D74+D75</f>
        <v>0</v>
      </c>
      <c r="E76" s="52">
        <f t="shared" si="37"/>
        <v>0</v>
      </c>
      <c r="F76" s="52">
        <f t="shared" si="37"/>
        <v>0</v>
      </c>
      <c r="G76" s="52">
        <f t="shared" si="37"/>
        <v>0</v>
      </c>
      <c r="H76" s="52">
        <f t="shared" si="37"/>
        <v>0</v>
      </c>
      <c r="I76" s="52">
        <f t="shared" si="37"/>
        <v>0</v>
      </c>
      <c r="J76" s="52">
        <f t="shared" ref="J76:P76" si="38">+J73+J74+J75</f>
        <v>0</v>
      </c>
      <c r="K76" s="52">
        <f t="shared" si="38"/>
        <v>0</v>
      </c>
      <c r="L76" s="52">
        <f t="shared" si="38"/>
        <v>0</v>
      </c>
      <c r="M76" s="52">
        <f t="shared" si="38"/>
        <v>0</v>
      </c>
      <c r="N76" s="52">
        <f t="shared" si="38"/>
        <v>0</v>
      </c>
      <c r="O76" s="52">
        <f t="shared" si="38"/>
        <v>0</v>
      </c>
      <c r="P76" s="34">
        <f t="shared" si="38"/>
        <v>0</v>
      </c>
      <c r="R76" s="46">
        <f>P76-T76</f>
        <v>-81.347951179999995</v>
      </c>
      <c r="T76" s="52">
        <f>+SUM('Impo 2016'!D76:K76)</f>
        <v>81.347951179999995</v>
      </c>
      <c r="W76" s="61">
        <f t="shared" ref="W76" si="39">+D76+E76+F76+G76+H76+I76+J76+K76+L76+M76+N76+O76</f>
        <v>0</v>
      </c>
    </row>
    <row r="77" spans="2:23" s="3" customFormat="1" ht="18" customHeight="1" thickTop="1" thickBot="1">
      <c r="B77" s="261"/>
      <c r="C77" s="32" t="s">
        <v>81</v>
      </c>
      <c r="D77" s="35" t="e">
        <f>+(D76-'Expo 2015'!D76)/'Expo 2015'!D76</f>
        <v>#DIV/0!</v>
      </c>
      <c r="E77" s="35">
        <f>+(E76-'Expo 2015'!E76)/'Expo 2015'!E76</f>
        <v>-1</v>
      </c>
      <c r="F77" s="35">
        <f>+(F76-'Expo 2015'!F76)/'Expo 2015'!F76</f>
        <v>-1</v>
      </c>
      <c r="G77" s="35" t="e">
        <f>+(G76-'Expo 2015'!G76)/'Expo 2015'!G76</f>
        <v>#DIV/0!</v>
      </c>
      <c r="H77" s="35">
        <f>+(H76-'Expo 2015'!H76)/'Expo 2015'!H76</f>
        <v>-1</v>
      </c>
      <c r="I77" s="35">
        <f>+(I76-'Expo 2015'!I76)/'Expo 2015'!I76</f>
        <v>-1</v>
      </c>
      <c r="J77" s="35">
        <f>+(J76-'Expo 2015'!J76)/'Expo 2015'!J76</f>
        <v>-1</v>
      </c>
      <c r="K77" s="35">
        <f>+(K76-'Expo 2015'!K76)/'Expo 2015'!K76</f>
        <v>-1</v>
      </c>
      <c r="L77" s="35">
        <f>+(L76-'Expo 2015'!L76)/'Expo 2015'!L76</f>
        <v>-1</v>
      </c>
      <c r="M77" s="35">
        <f>+(M76-'Expo 2015'!M76)/'Expo 2015'!M76</f>
        <v>-1</v>
      </c>
      <c r="N77" s="35">
        <f>+(N76-'Expo 2015'!N76)/'Expo 2015'!N76</f>
        <v>-1</v>
      </c>
      <c r="O77" s="35">
        <f>+(O76-'Expo 2015'!O76)/'Expo 2015'!O76</f>
        <v>-1</v>
      </c>
      <c r="P77" s="35">
        <f>+(P76-'Expo 2015'!P76)/'Expo 2015'!P76</f>
        <v>-1</v>
      </c>
      <c r="R77" s="14"/>
      <c r="T77" s="35">
        <f>+SUM('Impo 2016'!D77:K77)</f>
        <v>-1.3243616710607604</v>
      </c>
      <c r="W77" s="2"/>
    </row>
    <row r="78" spans="2:23" s="3" customFormat="1" ht="18" customHeight="1" thickTop="1" thickBot="1">
      <c r="B78" s="261" t="s">
        <v>3</v>
      </c>
      <c r="C78" s="31" t="s">
        <v>65</v>
      </c>
      <c r="D78" s="52">
        <v>2.9976520000000018</v>
      </c>
      <c r="E78" s="52">
        <v>10.003326000000023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1.0940000000000001</v>
      </c>
      <c r="P78" s="34">
        <f>+SUM(D78:O78)</f>
        <v>14.094978000000024</v>
      </c>
      <c r="Q78" s="2"/>
      <c r="R78" s="14"/>
      <c r="S78" s="2"/>
      <c r="T78" s="53">
        <f>+SUM('Impo 2016'!D78:K78)</f>
        <v>27.061360000000001</v>
      </c>
      <c r="U78" s="2"/>
      <c r="W78" s="2"/>
    </row>
    <row r="79" spans="2:23" s="3" customFormat="1" ht="18" customHeight="1" thickTop="1" thickBot="1">
      <c r="B79" s="261"/>
      <c r="C79" s="29" t="s">
        <v>59</v>
      </c>
      <c r="D79" s="52">
        <v>4.90388</v>
      </c>
      <c r="E79" s="52">
        <v>21.054133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1.0940000000000001</v>
      </c>
      <c r="P79" s="34">
        <f t="shared" si="36"/>
        <v>27.052013000000002</v>
      </c>
      <c r="Q79" s="2"/>
      <c r="R79" s="14"/>
      <c r="S79" s="2"/>
      <c r="T79" s="53">
        <f>+SUM('Impo 2016'!D79:K79)</f>
        <v>40.309696000000002</v>
      </c>
      <c r="U79" s="2"/>
      <c r="W79" s="2"/>
    </row>
    <row r="80" spans="2:23" s="3" customFormat="1" ht="18" customHeight="1" thickTop="1" thickBot="1">
      <c r="B80" s="261"/>
      <c r="C80" s="29" t="s">
        <v>60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3"/>
      <c r="P80" s="34">
        <f t="shared" si="36"/>
        <v>0</v>
      </c>
      <c r="Q80" s="2"/>
      <c r="R80" s="14"/>
      <c r="S80" s="2"/>
      <c r="T80" s="53">
        <f>+SUM('Impo 2016'!D80:K80)</f>
        <v>78.788752000000002</v>
      </c>
      <c r="U80" s="2"/>
      <c r="W80" s="2"/>
    </row>
    <row r="81" spans="2:23" s="3" customFormat="1" ht="18" customHeight="1" thickTop="1" thickBot="1">
      <c r="B81" s="261"/>
      <c r="C81" s="29" t="s">
        <v>139</v>
      </c>
      <c r="D81" s="52">
        <f t="shared" ref="D81:I81" si="40">+D78+D79+D80</f>
        <v>7.9015320000000013</v>
      </c>
      <c r="E81" s="52">
        <f t="shared" si="40"/>
        <v>31.057459000000023</v>
      </c>
      <c r="F81" s="52">
        <f t="shared" si="40"/>
        <v>0</v>
      </c>
      <c r="G81" s="52">
        <f t="shared" si="40"/>
        <v>0</v>
      </c>
      <c r="H81" s="52">
        <f t="shared" si="40"/>
        <v>0</v>
      </c>
      <c r="I81" s="52">
        <f t="shared" si="40"/>
        <v>0</v>
      </c>
      <c r="J81" s="52">
        <f t="shared" ref="J81:P81" si="41">+J78+J79+J80</f>
        <v>0</v>
      </c>
      <c r="K81" s="52">
        <f t="shared" si="41"/>
        <v>0</v>
      </c>
      <c r="L81" s="52">
        <f t="shared" si="41"/>
        <v>0</v>
      </c>
      <c r="M81" s="52">
        <f t="shared" si="41"/>
        <v>0</v>
      </c>
      <c r="N81" s="52">
        <f t="shared" si="41"/>
        <v>0</v>
      </c>
      <c r="O81" s="52">
        <f t="shared" si="41"/>
        <v>2.1880000000000002</v>
      </c>
      <c r="P81" s="34">
        <f t="shared" si="41"/>
        <v>41.146991000000028</v>
      </c>
      <c r="Q81" s="2"/>
      <c r="R81" s="46">
        <f>P81-T81</f>
        <v>-105.012817</v>
      </c>
      <c r="S81" s="2"/>
      <c r="T81" s="53">
        <f>+SUM('Impo 2016'!D81:K81)</f>
        <v>146.15980800000003</v>
      </c>
      <c r="U81" s="2"/>
      <c r="W81" s="61">
        <f t="shared" ref="W81:W86" si="42">+D81+E81+F81+G81+H81+I81+J81+K81+L81+M81+N81+O81</f>
        <v>41.146991000000028</v>
      </c>
    </row>
    <row r="82" spans="2:23" s="3" customFormat="1" ht="18" customHeight="1" thickTop="1" thickBot="1">
      <c r="B82" s="261"/>
      <c r="C82" s="32" t="s">
        <v>81</v>
      </c>
      <c r="D82" s="35">
        <f>+(D81-'Expo 2015'!D81)/'Expo 2015'!D81</f>
        <v>-0.51680105554218347</v>
      </c>
      <c r="E82" s="35">
        <f>+(E81-'Expo 2015'!E81)/'Expo 2015'!E81</f>
        <v>4.8145858444252028</v>
      </c>
      <c r="F82" s="35">
        <f>+(F81-'Expo 2015'!F81)/'Expo 2015'!F81</f>
        <v>-1</v>
      </c>
      <c r="G82" s="35" t="e">
        <f>+(G81-'Expo 2015'!G81)/'Expo 2015'!G81</f>
        <v>#DIV/0!</v>
      </c>
      <c r="H82" s="35">
        <f>+(H81-'Expo 2015'!H81)/'Expo 2015'!H81</f>
        <v>-1</v>
      </c>
      <c r="I82" s="35" t="e">
        <f>+(I81-'Expo 2015'!I81)/'Expo 2015'!I81</f>
        <v>#DIV/0!</v>
      </c>
      <c r="J82" s="35">
        <f>+(J81-'Expo 2015'!J81)/'Expo 2015'!J81</f>
        <v>-1</v>
      </c>
      <c r="K82" s="35">
        <f>+(K81-'Expo 2015'!K81)/'Expo 2015'!K81</f>
        <v>-1</v>
      </c>
      <c r="L82" s="35">
        <f>+(L81-'Expo 2015'!L81)/'Expo 2015'!L81</f>
        <v>-1</v>
      </c>
      <c r="M82" s="35">
        <f>+(M81-'Expo 2015'!M81)/'Expo 2015'!M81</f>
        <v>-1</v>
      </c>
      <c r="N82" s="35" t="e">
        <f>+(N81-'Expo 2015'!N81)/'Expo 2015'!N81</f>
        <v>#DIV/0!</v>
      </c>
      <c r="O82" s="35" t="e">
        <f>+(O81-'Expo 2015'!O81)/'Expo 2015'!O81</f>
        <v>#DIV/0!</v>
      </c>
      <c r="P82" s="35">
        <f>+(P81-'Expo 2015'!P81)/'Expo 2015'!P81</f>
        <v>-0.42579945769763217</v>
      </c>
      <c r="Q82" s="2"/>
      <c r="R82" s="14"/>
      <c r="S82" s="2"/>
      <c r="T82" s="35">
        <f>+SUM('Impo 2016'!D82:K82)</f>
        <v>-4.0857019529145893</v>
      </c>
      <c r="U82" s="2"/>
      <c r="W82" s="2"/>
    </row>
    <row r="83" spans="2:23" ht="18" customHeight="1" thickTop="1" thickBot="1">
      <c r="B83" s="261" t="s">
        <v>61</v>
      </c>
      <c r="C83" s="31" t="s">
        <v>65</v>
      </c>
      <c r="D83" s="34">
        <f t="shared" ref="D83:G85" si="43">+D3+D13+D18+D23+D28+D63+D33+D38+D43+D53+D58+D68+D73+D78+D8+D48</f>
        <v>266.925300316</v>
      </c>
      <c r="E83" s="34">
        <f t="shared" si="43"/>
        <v>241.43120958200004</v>
      </c>
      <c r="F83" s="34">
        <f t="shared" si="43"/>
        <v>306.57109791300007</v>
      </c>
      <c r="G83" s="34">
        <f t="shared" ref="G83:O83" si="44">+G3+G13+G18+G23+G28+G63+G33+G38+G43+G53+G58+G68+G73+G78+G8+G48</f>
        <v>307.93095415800002</v>
      </c>
      <c r="H83" s="34">
        <f t="shared" si="44"/>
        <v>312.29785385800005</v>
      </c>
      <c r="I83" s="34">
        <f t="shared" si="44"/>
        <v>404.51009148550003</v>
      </c>
      <c r="J83" s="34">
        <f t="shared" si="44"/>
        <v>316.71845789900004</v>
      </c>
      <c r="K83" s="34">
        <f t="shared" si="44"/>
        <v>343.31684660600007</v>
      </c>
      <c r="L83" s="34">
        <f t="shared" si="44"/>
        <v>292.16900031</v>
      </c>
      <c r="M83" s="34">
        <f t="shared" si="44"/>
        <v>270.48240707499997</v>
      </c>
      <c r="N83" s="34">
        <f t="shared" si="44"/>
        <v>322.02275520033334</v>
      </c>
      <c r="O83" s="34">
        <f t="shared" si="44"/>
        <v>321.77626030411102</v>
      </c>
      <c r="P83" s="34">
        <f>+SUM(D83:O83)</f>
        <v>3706.1522347069449</v>
      </c>
      <c r="Q83" s="5"/>
      <c r="R83" s="14"/>
      <c r="S83" s="72">
        <v>1121.9491103471487</v>
      </c>
      <c r="T83" s="52">
        <f>+SUM('Impo 2016'!D83:K83)</f>
        <v>4360.4085241579996</v>
      </c>
      <c r="U83" s="3"/>
      <c r="V83" s="14"/>
      <c r="W83" s="61">
        <f t="shared" si="42"/>
        <v>3706.1522347069449</v>
      </c>
    </row>
    <row r="84" spans="2:23" ht="18" customHeight="1" thickTop="1" thickBot="1">
      <c r="B84" s="261"/>
      <c r="C84" s="29" t="s">
        <v>59</v>
      </c>
      <c r="D84" s="34">
        <f t="shared" si="43"/>
        <v>349.80362081900012</v>
      </c>
      <c r="E84" s="34">
        <f t="shared" si="43"/>
        <v>482.80505858299995</v>
      </c>
      <c r="F84" s="34">
        <f t="shared" si="43"/>
        <v>489.23676842800006</v>
      </c>
      <c r="G84" s="34">
        <f t="shared" si="43"/>
        <v>384.59285276100002</v>
      </c>
      <c r="H84" s="34">
        <f>+H4+H14+H19+H24+H29+H64+H34+H39+H44+H54+H59+H69+H74+H79+H9+H49</f>
        <v>310.25831423199998</v>
      </c>
      <c r="I84" s="34">
        <f>+I4+I14+I19+I24+I29+I64+I34+I39+I44+I54+I59+I69+I74+I79+I9+I49</f>
        <v>376.61384663500002</v>
      </c>
      <c r="J84" s="34">
        <f t="shared" ref="J84:O84" si="45">+J4+J14+J19+J24+J29+J64+J34+J39+J44+J54+J59+J69+J74+J79+J9+J49</f>
        <v>333.06482194899996</v>
      </c>
      <c r="K84" s="34">
        <f t="shared" si="45"/>
        <v>333.01563226799999</v>
      </c>
      <c r="L84" s="34">
        <f t="shared" si="45"/>
        <v>504.67295918899993</v>
      </c>
      <c r="M84" s="34">
        <f t="shared" si="45"/>
        <v>286.83105831400002</v>
      </c>
      <c r="N84" s="34">
        <f t="shared" si="45"/>
        <v>364.34649629766676</v>
      </c>
      <c r="O84" s="34">
        <f t="shared" si="45"/>
        <v>393.14111088008895</v>
      </c>
      <c r="P84" s="34">
        <f>+SUM(D84:O84)</f>
        <v>4608.3825403557548</v>
      </c>
      <c r="Q84" s="5"/>
      <c r="R84" s="14"/>
      <c r="S84" s="72">
        <v>1594.2125510442297</v>
      </c>
      <c r="T84" s="52">
        <f>+SUM('Impo 2016'!D84:K84)</f>
        <v>9665.2263770650006</v>
      </c>
      <c r="U84" s="3"/>
      <c r="V84" s="14"/>
      <c r="W84" s="61">
        <f t="shared" si="42"/>
        <v>4608.3825403557548</v>
      </c>
    </row>
    <row r="85" spans="2:23" ht="18" customHeight="1" thickTop="1" thickBot="1">
      <c r="B85" s="261"/>
      <c r="C85" s="29" t="s">
        <v>60</v>
      </c>
      <c r="D85" s="34">
        <f t="shared" si="43"/>
        <v>61.477146295999987</v>
      </c>
      <c r="E85" s="34">
        <f t="shared" si="43"/>
        <v>52.782265990999989</v>
      </c>
      <c r="F85" s="34">
        <f t="shared" si="43"/>
        <v>39.714540341000003</v>
      </c>
      <c r="G85" s="34">
        <f t="shared" si="43"/>
        <v>54.759223495000008</v>
      </c>
      <c r="H85" s="34">
        <f>+H5+H15+H20+H25+H30+H65+H35+H40+H45+H55+H60+H70+H75+H80+H10+H50</f>
        <v>68.320121251000018</v>
      </c>
      <c r="I85" s="34">
        <f>+I5+I15+I20+I25+I30+I65+I35+I40+I45+I55+I60+I70+I75+I80+I10+I50</f>
        <v>84.759766004999975</v>
      </c>
      <c r="J85" s="34">
        <f t="shared" ref="J85:O85" si="46">+J5+J15+J20+J25+J30+J65+J35+J40+J45+J55+J60+J70+J75+J80+J10+J50</f>
        <v>78.537998080000008</v>
      </c>
      <c r="K85" s="34">
        <f t="shared" si="46"/>
        <v>89.95149485200001</v>
      </c>
      <c r="L85" s="34">
        <f t="shared" si="46"/>
        <v>81.644837274000011</v>
      </c>
      <c r="M85" s="34">
        <f t="shared" si="46"/>
        <v>80.654360368000013</v>
      </c>
      <c r="N85" s="34">
        <f t="shared" si="46"/>
        <v>101.17085618833336</v>
      </c>
      <c r="O85" s="34">
        <f t="shared" si="46"/>
        <v>91.638646707444451</v>
      </c>
      <c r="P85" s="34">
        <f>+SUM(D85:O85)</f>
        <v>885.41125684877773</v>
      </c>
      <c r="Q85" s="5"/>
      <c r="R85" s="14"/>
      <c r="S85" s="72">
        <v>217.05383967162166</v>
      </c>
      <c r="T85" s="52">
        <f>+SUM('Impo 2016'!D85:K85)</f>
        <v>319.87263336399997</v>
      </c>
      <c r="U85" s="3"/>
      <c r="V85" s="14"/>
      <c r="W85" s="61">
        <f t="shared" si="42"/>
        <v>885.41125684877773</v>
      </c>
    </row>
    <row r="86" spans="2:23" ht="18" customHeight="1" thickTop="1" thickBot="1">
      <c r="B86" s="261"/>
      <c r="C86" s="29" t="s">
        <v>139</v>
      </c>
      <c r="D86" s="34">
        <f t="shared" ref="D86:I86" si="47">+D83+D84+D85</f>
        <v>678.20606743100006</v>
      </c>
      <c r="E86" s="34">
        <f t="shared" si="47"/>
        <v>777.01853415599999</v>
      </c>
      <c r="F86" s="34">
        <f t="shared" si="47"/>
        <v>835.52240668200011</v>
      </c>
      <c r="G86" s="34">
        <f t="shared" si="47"/>
        <v>747.283030414</v>
      </c>
      <c r="H86" s="34">
        <f t="shared" si="47"/>
        <v>690.87628934100007</v>
      </c>
      <c r="I86" s="34">
        <f t="shared" si="47"/>
        <v>865.8837041255</v>
      </c>
      <c r="J86" s="34">
        <f t="shared" ref="J86:P86" si="48">+J83+J84+J85</f>
        <v>728.32127792799997</v>
      </c>
      <c r="K86" s="34">
        <f t="shared" si="48"/>
        <v>766.28397372600011</v>
      </c>
      <c r="L86" s="34">
        <f t="shared" si="48"/>
        <v>878.48679677299992</v>
      </c>
      <c r="M86" s="34">
        <f t="shared" si="48"/>
        <v>637.9678257569999</v>
      </c>
      <c r="N86" s="34">
        <f t="shared" si="48"/>
        <v>787.54010768633339</v>
      </c>
      <c r="O86" s="34">
        <f t="shared" si="48"/>
        <v>806.55601789164439</v>
      </c>
      <c r="P86" s="34">
        <f t="shared" si="48"/>
        <v>9199.9460319114787</v>
      </c>
      <c r="Q86" s="5"/>
      <c r="R86" s="46">
        <f>P86-T86</f>
        <v>-5145.5615026755204</v>
      </c>
      <c r="S86" s="72">
        <v>2933.2155010629999</v>
      </c>
      <c r="T86" s="52">
        <f>+SUM('Impo 2016'!D86:K86)</f>
        <v>14345.507534586999</v>
      </c>
      <c r="U86" s="3"/>
      <c r="V86" s="14"/>
      <c r="W86" s="61">
        <f t="shared" si="42"/>
        <v>9199.9460319114769</v>
      </c>
    </row>
    <row r="87" spans="2:23" ht="18" customHeight="1" thickTop="1" thickBot="1">
      <c r="B87" s="261"/>
      <c r="C87" s="32" t="s">
        <v>81</v>
      </c>
      <c r="D87" s="35">
        <f>+(D86-'Expo 2015'!D86)/'Expo 2015'!D86</f>
        <v>-1.9696931186378264E-2</v>
      </c>
      <c r="E87" s="35">
        <f>+(E86-'Expo 2015'!E86)/'Expo 2015'!E86</f>
        <v>0.40178260333145799</v>
      </c>
      <c r="F87" s="35">
        <f>+(F86-'Expo 2015'!F86)/'Expo 2015'!F86</f>
        <v>7.0122333081901037E-2</v>
      </c>
      <c r="G87" s="35">
        <f>+(G86-'Expo 2015'!G86)/'Expo 2015'!G86</f>
        <v>0.42906888355891926</v>
      </c>
      <c r="H87" s="35">
        <f>+(H86-'Expo 2015'!H86)/'Expo 2015'!H86</f>
        <v>-8.9720801247050813E-2</v>
      </c>
      <c r="I87" s="35">
        <f>+(I86-'Expo 2015'!I86)/'Expo 2015'!I86</f>
        <v>9.5457243231648947E-2</v>
      </c>
      <c r="J87" s="35">
        <f>+(J86-'Expo 2015'!J86)/'Expo 2015'!J86</f>
        <v>-0.21792436628592265</v>
      </c>
      <c r="K87" s="35">
        <f>+(K86-'Expo 2015'!K86)/'Expo 2015'!K86</f>
        <v>-0.10702357152724881</v>
      </c>
      <c r="L87" s="35">
        <f>+(L86-'Expo 2015'!L86)/'Expo 2015'!L86</f>
        <v>5.7102971309669123E-3</v>
      </c>
      <c r="M87" s="35">
        <f>+(M86-'Expo 2015'!M86)/'Expo 2015'!M86</f>
        <v>-0.24123599322669129</v>
      </c>
      <c r="N87" s="35">
        <f>+(N86-'Expo 2015'!N86)/'Expo 2015'!N86</f>
        <v>0.10063494987954998</v>
      </c>
      <c r="O87" s="35">
        <f>+(O86-'Expo 2015'!O86)/'Expo 2015'!O86</f>
        <v>0.1026231454420061</v>
      </c>
      <c r="P87" s="35">
        <f>+(P86-'Expo 2015'!P86)/'Expo 2015'!P86</f>
        <v>1.6575196647473787E-2</v>
      </c>
      <c r="Q87" s="6"/>
      <c r="R87" s="14"/>
      <c r="T87" s="35">
        <f>+SUM('Impo 2016'!D87:K87)</f>
        <v>-1.5107847417182807</v>
      </c>
    </row>
    <row r="88" spans="2:23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3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3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3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3" ht="18" customHeight="1">
      <c r="B92" s="36" t="s">
        <v>92</v>
      </c>
    </row>
    <row r="93" spans="2:23">
      <c r="R93" s="36" t="s">
        <v>100</v>
      </c>
      <c r="T93" s="2">
        <v>-6481.6078749679991</v>
      </c>
    </row>
    <row r="94" spans="2:23">
      <c r="D94" s="14">
        <f>+P83/$P$86</f>
        <v>0.40284499733493712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T94" s="6">
        <f>+(R86-T93)/T93</f>
        <v>-0.20612884920920568</v>
      </c>
    </row>
    <row r="95" spans="2:23">
      <c r="D95" s="14">
        <f>+P84/$P$86</f>
        <v>0.50091408410123772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23">
      <c r="D96" s="14">
        <f>+P85/$P$86</f>
        <v>9.6240918563825009E-2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</sheetData>
  <mergeCells count="17">
    <mergeCell ref="B73:B77"/>
    <mergeCell ref="B78:B82"/>
    <mergeCell ref="B83:B87"/>
    <mergeCell ref="B58:B62"/>
    <mergeCell ref="B63:B67"/>
    <mergeCell ref="B3:B7"/>
    <mergeCell ref="B8:B12"/>
    <mergeCell ref="B13:B17"/>
    <mergeCell ref="B18:B22"/>
    <mergeCell ref="B23:B27"/>
    <mergeCell ref="B53:B57"/>
    <mergeCell ref="B68:B72"/>
    <mergeCell ref="B28:B32"/>
    <mergeCell ref="B48:B52"/>
    <mergeCell ref="B33:B37"/>
    <mergeCell ref="B38:B42"/>
    <mergeCell ref="B43:B47"/>
  </mergeCells>
  <hyperlinks>
    <hyperlink ref="P1" location="Índice!A1" display="Índice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107"/>
  <sheetViews>
    <sheetView zoomScale="70" zoomScaleNormal="70" workbookViewId="0">
      <pane xSplit="3" ySplit="2" topLeftCell="F56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18" s="8" customFormat="1" ht="38.25" customHeight="1" thickBot="1">
      <c r="B1" s="22" t="s">
        <v>73</v>
      </c>
      <c r="O1" s="9"/>
      <c r="P1" s="87" t="s">
        <v>111</v>
      </c>
    </row>
    <row r="2" spans="2:18" ht="30" customHeight="1" thickTop="1">
      <c r="B2" s="33" t="s">
        <v>36</v>
      </c>
      <c r="C2" s="21" t="s">
        <v>23</v>
      </c>
      <c r="D2" s="51" t="s">
        <v>27</v>
      </c>
      <c r="E2" s="51" t="s">
        <v>28</v>
      </c>
      <c r="F2" s="51" t="s">
        <v>26</v>
      </c>
      <c r="G2" s="51" t="s">
        <v>22</v>
      </c>
      <c r="H2" s="51" t="s">
        <v>29</v>
      </c>
      <c r="I2" s="51" t="s">
        <v>30</v>
      </c>
      <c r="J2" s="51" t="s">
        <v>31</v>
      </c>
      <c r="K2" s="51" t="s">
        <v>32</v>
      </c>
      <c r="L2" s="51" t="s">
        <v>33</v>
      </c>
      <c r="M2" s="51" t="s">
        <v>24</v>
      </c>
      <c r="N2" s="51" t="s">
        <v>34</v>
      </c>
      <c r="O2" s="51" t="s">
        <v>35</v>
      </c>
      <c r="P2" s="51" t="s">
        <v>25</v>
      </c>
      <c r="R2" s="36" t="s">
        <v>97</v>
      </c>
    </row>
    <row r="3" spans="2:18" ht="18" customHeight="1" thickBot="1">
      <c r="B3" s="259" t="s">
        <v>0</v>
      </c>
      <c r="C3" s="29" t="s">
        <v>65</v>
      </c>
      <c r="D3" s="34">
        <v>5.6356602900000006</v>
      </c>
      <c r="E3" s="34">
        <v>11.737168360000002</v>
      </c>
      <c r="F3" s="34">
        <v>12.262048590000001</v>
      </c>
      <c r="G3" s="34">
        <v>7.3730244200000001</v>
      </c>
      <c r="H3" s="34">
        <v>10.435142679999998</v>
      </c>
      <c r="I3" s="34">
        <v>7.1833445999999999</v>
      </c>
      <c r="J3" s="34">
        <v>4.5319619400000004</v>
      </c>
      <c r="K3" s="34">
        <v>4.971945279999999</v>
      </c>
      <c r="L3" s="34">
        <v>5.61926434</v>
      </c>
      <c r="M3" s="34">
        <v>3.2454293200000004</v>
      </c>
      <c r="N3" s="34">
        <v>6.601</v>
      </c>
      <c r="O3" s="34">
        <v>6.1829999999999998</v>
      </c>
      <c r="P3" s="34">
        <f>SUM(D3:O3)</f>
        <v>85.778989819999993</v>
      </c>
      <c r="R3" s="57"/>
    </row>
    <row r="4" spans="2:18" ht="18" customHeight="1" thickTop="1" thickBot="1">
      <c r="B4" s="260"/>
      <c r="C4" s="29" t="s">
        <v>59</v>
      </c>
      <c r="D4" s="34">
        <v>25.572114209999999</v>
      </c>
      <c r="E4" s="34">
        <v>21.064949689999999</v>
      </c>
      <c r="F4" s="34">
        <v>15.406716610000002</v>
      </c>
      <c r="G4" s="34">
        <v>10.46445383</v>
      </c>
      <c r="H4" s="34">
        <v>11.110838340000001</v>
      </c>
      <c r="I4" s="34">
        <v>10.62531652</v>
      </c>
      <c r="J4" s="34">
        <v>7.7888774699999992</v>
      </c>
      <c r="K4" s="34">
        <v>7.6353592800000003</v>
      </c>
      <c r="L4" s="34">
        <v>7.9523520900000015</v>
      </c>
      <c r="M4" s="34">
        <v>8.3900575800000006</v>
      </c>
      <c r="N4" s="34">
        <v>8.4858166100000005</v>
      </c>
      <c r="O4" s="34">
        <v>9.5509696299999991</v>
      </c>
      <c r="P4" s="34">
        <f>SUM(D4:O4)</f>
        <v>144.04782186</v>
      </c>
      <c r="R4" s="57"/>
    </row>
    <row r="5" spans="2:18" ht="18" customHeight="1" thickTop="1" thickBot="1">
      <c r="B5" s="260"/>
      <c r="C5" s="29" t="s">
        <v>60</v>
      </c>
      <c r="D5" s="34">
        <v>34.859826580000004</v>
      </c>
      <c r="E5" s="34">
        <v>8.4341438100000019</v>
      </c>
      <c r="F5" s="34">
        <v>21.42305644</v>
      </c>
      <c r="G5" s="34">
        <v>12.49306582</v>
      </c>
      <c r="H5" s="34">
        <v>14.324342699999999</v>
      </c>
      <c r="I5" s="34">
        <v>2.47938978</v>
      </c>
      <c r="J5" s="34">
        <v>5.3084718799999999</v>
      </c>
      <c r="K5" s="34">
        <v>6.4807074199999999</v>
      </c>
      <c r="L5" s="34">
        <v>7.7762616700000002</v>
      </c>
      <c r="M5" s="34">
        <v>25.180009600000002</v>
      </c>
      <c r="N5" s="34">
        <v>6.0910000000000002</v>
      </c>
      <c r="O5" s="34">
        <v>19.75</v>
      </c>
      <c r="P5" s="34">
        <f>SUM(D5:O5)</f>
        <v>164.60027570000003</v>
      </c>
      <c r="R5" s="57"/>
    </row>
    <row r="6" spans="2:18" ht="18" customHeight="1" thickTop="1" thickBot="1">
      <c r="B6" s="260"/>
      <c r="C6" s="29" t="s">
        <v>139</v>
      </c>
      <c r="D6" s="34">
        <f>+D3+D4+D5</f>
        <v>66.067601080000003</v>
      </c>
      <c r="E6" s="34">
        <f t="shared" ref="E6:P6" si="0">+E3+E4+E5</f>
        <v>41.236261860000006</v>
      </c>
      <c r="F6" s="52">
        <f t="shared" si="0"/>
        <v>49.091821640000006</v>
      </c>
      <c r="G6" s="52">
        <f t="shared" si="0"/>
        <v>30.330544070000002</v>
      </c>
      <c r="H6" s="52">
        <f t="shared" si="0"/>
        <v>35.870323720000002</v>
      </c>
      <c r="I6" s="52">
        <f t="shared" si="0"/>
        <v>20.288050900000002</v>
      </c>
      <c r="J6" s="52">
        <f t="shared" si="0"/>
        <v>17.62931129</v>
      </c>
      <c r="K6" s="52">
        <f t="shared" si="0"/>
        <v>19.088011979999997</v>
      </c>
      <c r="L6" s="52">
        <f t="shared" si="0"/>
        <v>21.347878100000003</v>
      </c>
      <c r="M6" s="52">
        <f t="shared" si="0"/>
        <v>36.815496500000002</v>
      </c>
      <c r="N6" s="52">
        <f>+N3+N4+N5</f>
        <v>21.177816610000001</v>
      </c>
      <c r="O6" s="52">
        <f t="shared" si="0"/>
        <v>35.483969629999997</v>
      </c>
      <c r="P6" s="34">
        <f t="shared" si="0"/>
        <v>394.42708737999999</v>
      </c>
      <c r="R6" s="46">
        <f>+D6+E6+F6+G6</f>
        <v>186.72622865000002</v>
      </c>
    </row>
    <row r="7" spans="2:18" ht="18" customHeight="1" thickTop="1" thickBot="1">
      <c r="B7" s="260"/>
      <c r="C7" s="32" t="s">
        <v>67</v>
      </c>
      <c r="D7" s="35">
        <f>+(D6-'Expo 2014'!D6)/'Expo 2014'!D6</f>
        <v>0.31113900579650727</v>
      </c>
      <c r="E7" s="35">
        <f>+(E6-'Expo 2014'!E6)/'Expo 2014'!E6</f>
        <v>-0.28954319947388341</v>
      </c>
      <c r="F7" s="35">
        <f>+(F6-'Expo 2014'!F6)/'Expo 2014'!F6</f>
        <v>-7.2904412692344669E-2</v>
      </c>
      <c r="G7" s="35">
        <f>+(G6-'Expo 2014'!G6)/'Expo 2014'!G6</f>
        <v>-0.29686936103052142</v>
      </c>
      <c r="H7" s="35">
        <f>+(H6-'Expo 2014'!H6)/'Expo 2014'!H6</f>
        <v>-0.47284142731480983</v>
      </c>
      <c r="I7" s="35">
        <f>+(I6-'Expo 2014'!I6)/'Expo 2014'!I6</f>
        <v>-0.76377319129975618</v>
      </c>
      <c r="J7" s="35">
        <f>+(J6-'Expo 2014'!J6)/'Expo 2014'!J6</f>
        <v>-0.66742630647922985</v>
      </c>
      <c r="K7" s="35">
        <f>+(K6-'Expo 2014'!K6)/'Expo 2014'!K6</f>
        <v>-0.6754482413906967</v>
      </c>
      <c r="L7" s="35">
        <f>+(L6-'Expo 2014'!L6)/'Expo 2014'!L6</f>
        <v>-0.77232979506140942</v>
      </c>
      <c r="M7" s="35">
        <f>+(M6-'Expo 2014'!M6)/'Expo 2014'!M6</f>
        <v>-0.51051493696050432</v>
      </c>
      <c r="N7" s="35">
        <f>+(N6-'Expo 2014'!N6)/'Expo 2014'!N6</f>
        <v>-0.75470203205885111</v>
      </c>
      <c r="O7" s="35">
        <f>+(O6-'Expo 2014'!O6)/'Expo 2014'!O6</f>
        <v>-0.44592016971244253</v>
      </c>
      <c r="P7" s="35">
        <f>+(P6-'Expo 2014'!P6)/'Expo 2014'!P6</f>
        <v>-0.50048898967106981</v>
      </c>
      <c r="R7" s="14"/>
    </row>
    <row r="8" spans="2:18" ht="18" customHeight="1" thickTop="1" thickBot="1">
      <c r="B8" s="260" t="s">
        <v>77</v>
      </c>
      <c r="C8" s="31" t="s">
        <v>65</v>
      </c>
      <c r="D8" s="34">
        <v>0</v>
      </c>
      <c r="E8" s="34">
        <v>0</v>
      </c>
      <c r="F8" s="34">
        <v>7.15775E-3</v>
      </c>
      <c r="G8" s="34">
        <v>1.4E-5</v>
      </c>
      <c r="H8" s="34">
        <v>2.0000000000000001E-4</v>
      </c>
      <c r="I8" s="34">
        <v>2.0425E-4</v>
      </c>
      <c r="J8" s="34">
        <v>1.45E-4</v>
      </c>
      <c r="K8" s="34">
        <v>4.9999999999999998E-7</v>
      </c>
      <c r="L8" s="34">
        <v>4.5000000000000001E-6</v>
      </c>
      <c r="M8" s="34">
        <v>1.0000000000000001E-5</v>
      </c>
      <c r="N8" s="34">
        <v>0</v>
      </c>
      <c r="O8" s="34">
        <v>0</v>
      </c>
      <c r="P8" s="34">
        <f>SUM(D8:O8)</f>
        <v>7.735999999999999E-3</v>
      </c>
      <c r="R8" s="57"/>
    </row>
    <row r="9" spans="2:18" ht="18" customHeight="1" thickTop="1" thickBot="1">
      <c r="B9" s="260"/>
      <c r="C9" s="29" t="s">
        <v>59</v>
      </c>
      <c r="D9" s="34">
        <v>2.2092430000000003E-2</v>
      </c>
      <c r="E9" s="34">
        <v>0</v>
      </c>
      <c r="F9" s="34">
        <v>3.395E-3</v>
      </c>
      <c r="G9" s="34">
        <v>0</v>
      </c>
      <c r="H9" s="34">
        <v>3.8549999999999999E-3</v>
      </c>
      <c r="I9" s="34">
        <v>1.1774999999999999E-3</v>
      </c>
      <c r="J9" s="34">
        <v>1.0150000000000001E-3</v>
      </c>
      <c r="K9" s="34">
        <v>2.6535E-3</v>
      </c>
      <c r="L9" s="34">
        <v>4.2304999999999999E-3</v>
      </c>
      <c r="M9" s="34">
        <v>1.0858899999999999E-3</v>
      </c>
      <c r="N9" s="34">
        <v>0</v>
      </c>
      <c r="O9" s="34">
        <v>0</v>
      </c>
      <c r="P9" s="34">
        <f>SUM(D9:O9)</f>
        <v>3.9504820000000003E-2</v>
      </c>
      <c r="R9" s="57"/>
    </row>
    <row r="10" spans="2:18" ht="18" customHeight="1" thickTop="1" thickBot="1">
      <c r="B10" s="260"/>
      <c r="C10" s="29" t="s">
        <v>60</v>
      </c>
      <c r="D10" s="34">
        <v>0.16098443000000001</v>
      </c>
      <c r="E10" s="34">
        <v>1.2366200000000001E-2</v>
      </c>
      <c r="F10" s="34">
        <v>0.31489751999999999</v>
      </c>
      <c r="G10" s="34">
        <v>7.0899999999999999E-3</v>
      </c>
      <c r="H10" s="34">
        <v>2.9999999999999997E-8</v>
      </c>
      <c r="I10" s="34">
        <v>1.1159000000000001E-2</v>
      </c>
      <c r="J10" s="34">
        <v>0</v>
      </c>
      <c r="K10" s="34">
        <v>0</v>
      </c>
      <c r="L10" s="34">
        <v>1.0593479999999999E-2</v>
      </c>
      <c r="M10" s="34">
        <v>5.9300000000000004E-3</v>
      </c>
      <c r="N10" s="34">
        <v>0</v>
      </c>
      <c r="O10" s="34">
        <v>0</v>
      </c>
      <c r="P10" s="34">
        <f>SUM(D10:O10)</f>
        <v>0.52302066000000003</v>
      </c>
      <c r="R10" s="57"/>
    </row>
    <row r="11" spans="2:18" ht="18" customHeight="1" thickTop="1" thickBot="1">
      <c r="B11" s="260"/>
      <c r="C11" s="29" t="s">
        <v>139</v>
      </c>
      <c r="D11" s="34">
        <f>+D8+D9+D10</f>
        <v>0.18307686000000001</v>
      </c>
      <c r="E11" s="34">
        <f t="shared" ref="E11:P11" si="1">+E8+E9+E10</f>
        <v>1.2366200000000001E-2</v>
      </c>
      <c r="F11" s="34">
        <f t="shared" si="1"/>
        <v>0.32545026999999999</v>
      </c>
      <c r="G11" s="34">
        <f t="shared" si="1"/>
        <v>7.1040000000000001E-3</v>
      </c>
      <c r="H11" s="34">
        <f>+H8+H9+H10</f>
        <v>4.0550299999999994E-3</v>
      </c>
      <c r="I11" s="34">
        <f t="shared" si="1"/>
        <v>1.254075E-2</v>
      </c>
      <c r="J11" s="34">
        <f t="shared" si="1"/>
        <v>1.16E-3</v>
      </c>
      <c r="K11" s="34">
        <f t="shared" si="1"/>
        <v>2.6540000000000001E-3</v>
      </c>
      <c r="L11" s="34">
        <f t="shared" si="1"/>
        <v>1.4828479999999998E-2</v>
      </c>
      <c r="M11" s="34">
        <f t="shared" si="1"/>
        <v>7.0258899999999999E-3</v>
      </c>
      <c r="N11" s="34">
        <f t="shared" si="1"/>
        <v>0</v>
      </c>
      <c r="O11" s="34">
        <f t="shared" si="1"/>
        <v>0</v>
      </c>
      <c r="P11" s="34">
        <f t="shared" si="1"/>
        <v>0.57026147999999999</v>
      </c>
      <c r="R11" s="46">
        <f>+D11+E11+F11+G11</f>
        <v>0.52799733000000004</v>
      </c>
    </row>
    <row r="12" spans="2:18" ht="18" customHeight="1" thickTop="1" thickBot="1">
      <c r="B12" s="260"/>
      <c r="C12" s="32" t="s">
        <v>67</v>
      </c>
      <c r="D12" s="35">
        <f>+(D11-'Expo 2014'!D11)/'Expo 2014'!D11</f>
        <v>105.68566000792522</v>
      </c>
      <c r="E12" s="35">
        <f>+(E11-'Expo 2014'!E11)/'Expo 2014'!E11</f>
        <v>-0.53896495839902703</v>
      </c>
      <c r="F12" s="35">
        <f>+(F11-'Expo 2014'!F11)/'Expo 2014'!F11</f>
        <v>12.760121682585185</v>
      </c>
      <c r="G12" s="35">
        <f>+(G11-'Expo 2014'!G11)/'Expo 2014'!G11</f>
        <v>-0.11669257071806022</v>
      </c>
      <c r="H12" s="35">
        <f>+(H11-'Expo 2014'!H11)/'Expo 2014'!H11</f>
        <v>0.2546503712871287</v>
      </c>
      <c r="I12" s="35">
        <f>+(I11-'Expo 2014'!I11)/'Expo 2014'!I11</f>
        <v>-0.94444112174375339</v>
      </c>
      <c r="J12" s="35" t="e">
        <f>+(J11-'Expo 2014'!J11)/'Expo 2014'!J11</f>
        <v>#DIV/0!</v>
      </c>
      <c r="K12" s="35">
        <f>+(K11-'Expo 2014'!K11)/'Expo 2014'!K11</f>
        <v>8.5746599805187778</v>
      </c>
      <c r="L12" s="35">
        <f>+(L11-'Expo 2014'!L11)/'Expo 2014'!L11</f>
        <v>2.9931385300620166</v>
      </c>
      <c r="M12" s="35">
        <f>+(M11-'Expo 2014'!M11)/'Expo 2014'!M11</f>
        <v>6055.8017241379312</v>
      </c>
      <c r="N12" s="35">
        <f>+(N11-'Expo 2014'!N11)/'Expo 2014'!N11</f>
        <v>-1</v>
      </c>
      <c r="O12" s="35">
        <f>+(O11-'Expo 2014'!O11)/'Expo 2014'!O11</f>
        <v>-1</v>
      </c>
      <c r="P12" s="35">
        <f>+(P11-'Expo 2014'!P11)/'Expo 2014'!P11</f>
        <v>0.83151893760486661</v>
      </c>
      <c r="R12" s="14"/>
    </row>
    <row r="13" spans="2:18" ht="18" customHeight="1" thickTop="1" thickBot="1">
      <c r="B13" s="260" t="s">
        <v>42</v>
      </c>
      <c r="C13" s="31" t="s">
        <v>65</v>
      </c>
      <c r="D13" s="34">
        <v>113.636</v>
      </c>
      <c r="E13" s="34">
        <v>76.201999999999998</v>
      </c>
      <c r="F13" s="34">
        <v>130.74199999999999</v>
      </c>
      <c r="G13" s="34">
        <v>87.209000000000003</v>
      </c>
      <c r="H13" s="34">
        <v>115.30500000000001</v>
      </c>
      <c r="I13" s="34">
        <v>128.14599999999999</v>
      </c>
      <c r="J13" s="34">
        <v>161.42500000000001</v>
      </c>
      <c r="K13" s="34">
        <v>113.30200000000001</v>
      </c>
      <c r="L13" s="34">
        <v>135.19499999999999</v>
      </c>
      <c r="M13" s="34">
        <v>149.59</v>
      </c>
      <c r="N13" s="34">
        <v>91.951999999999998</v>
      </c>
      <c r="O13" s="34">
        <v>108.349</v>
      </c>
      <c r="P13" s="34">
        <f>SUM(D13:O13)</f>
        <v>1411.0529999999999</v>
      </c>
      <c r="R13" s="57"/>
    </row>
    <row r="14" spans="2:18" ht="18" customHeight="1" thickTop="1" thickBot="1">
      <c r="B14" s="260"/>
      <c r="C14" s="29" t="s">
        <v>59</v>
      </c>
      <c r="D14" s="34">
        <v>170.489</v>
      </c>
      <c r="E14" s="34">
        <v>160.88800000000001</v>
      </c>
      <c r="F14" s="34">
        <v>310.78899999999999</v>
      </c>
      <c r="G14" s="34">
        <v>129.93700000000001</v>
      </c>
      <c r="H14" s="34">
        <v>299.97800000000001</v>
      </c>
      <c r="I14" s="34">
        <v>296.755</v>
      </c>
      <c r="J14" s="34">
        <v>369.87</v>
      </c>
      <c r="K14" s="34">
        <v>382.27199999999999</v>
      </c>
      <c r="L14" s="34">
        <v>414.40199999999999</v>
      </c>
      <c r="M14" s="34">
        <v>347.77100000000002</v>
      </c>
      <c r="N14" s="34">
        <v>320.17</v>
      </c>
      <c r="O14" s="34">
        <v>290.24599999999998</v>
      </c>
      <c r="P14" s="34">
        <f>SUM(D14:O14)</f>
        <v>3493.567</v>
      </c>
      <c r="R14" s="57"/>
    </row>
    <row r="15" spans="2:18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0</v>
      </c>
      <c r="R15" s="57"/>
    </row>
    <row r="16" spans="2:18" ht="18" customHeight="1" thickTop="1" thickBot="1">
      <c r="B16" s="260"/>
      <c r="C16" s="29" t="s">
        <v>139</v>
      </c>
      <c r="D16" s="34">
        <f>+D13+D14+D15</f>
        <v>284.125</v>
      </c>
      <c r="E16" s="34">
        <f t="shared" ref="E16:P16" si="2">+E13+E14+E15</f>
        <v>237.09</v>
      </c>
      <c r="F16" s="52">
        <f t="shared" si="2"/>
        <v>441.53099999999995</v>
      </c>
      <c r="G16" s="52">
        <f t="shared" si="2"/>
        <v>217.14600000000002</v>
      </c>
      <c r="H16" s="52">
        <f t="shared" si="2"/>
        <v>415.28300000000002</v>
      </c>
      <c r="I16" s="52">
        <f t="shared" si="2"/>
        <v>424.90099999999995</v>
      </c>
      <c r="J16" s="52">
        <f t="shared" si="2"/>
        <v>531.29500000000007</v>
      </c>
      <c r="K16" s="52">
        <f t="shared" si="2"/>
        <v>495.57400000000001</v>
      </c>
      <c r="L16" s="52">
        <f t="shared" si="2"/>
        <v>549.59699999999998</v>
      </c>
      <c r="M16" s="52">
        <f t="shared" si="2"/>
        <v>497.36099999999999</v>
      </c>
      <c r="N16" s="52">
        <f t="shared" si="2"/>
        <v>412.12200000000001</v>
      </c>
      <c r="O16" s="52">
        <f t="shared" si="2"/>
        <v>398.59499999999997</v>
      </c>
      <c r="P16" s="34">
        <f t="shared" si="2"/>
        <v>4904.62</v>
      </c>
      <c r="R16" s="46">
        <f>+D16+E16+F16+G16</f>
        <v>1179.8920000000001</v>
      </c>
    </row>
    <row r="17" spans="2:18" ht="18" customHeight="1" thickTop="1" thickBot="1">
      <c r="B17" s="260"/>
      <c r="C17" s="32" t="s">
        <v>67</v>
      </c>
      <c r="D17" s="35">
        <f>+(D16-'Expo 2014'!D16)/'Expo 2014'!D16</f>
        <v>-0.17171726005672988</v>
      </c>
      <c r="E17" s="35">
        <f>+(E16-'Expo 2014'!E16)/'Expo 2014'!E16</f>
        <v>0.23530699012129552</v>
      </c>
      <c r="F17" s="35">
        <f>+(F16-'Expo 2014'!F16)/'Expo 2014'!F16</f>
        <v>1.5205281605717744</v>
      </c>
      <c r="G17" s="35">
        <f>+(G16-'Expo 2014'!G16)/'Expo 2014'!G16</f>
        <v>-3.1720965676169527E-3</v>
      </c>
      <c r="H17" s="35">
        <f>+(H16-'Expo 2014'!H16)/'Expo 2014'!H16</f>
        <v>1.8306193809598463</v>
      </c>
      <c r="I17" s="35">
        <f>+(I16-'Expo 2014'!I16)/'Expo 2014'!I16</f>
        <v>0.63225080287035751</v>
      </c>
      <c r="J17" s="35">
        <f>+(J16-'Expo 2014'!J16)/'Expo 2014'!J16</f>
        <v>1.1459788267892417</v>
      </c>
      <c r="K17" s="35">
        <f>+(K16-'Expo 2014'!K16)/'Expo 2014'!K16</f>
        <v>1.1248113466419702</v>
      </c>
      <c r="L17" s="35">
        <f>+(L16-'Expo 2014'!L16)/'Expo 2014'!L16</f>
        <v>0.66215137273403613</v>
      </c>
      <c r="M17" s="35">
        <f>+(M16-'Expo 2014'!M16)/'Expo 2014'!M16</f>
        <v>0.22534701178140101</v>
      </c>
      <c r="N17" s="35">
        <f>+(N16-'Expo 2014'!N16)/'Expo 2014'!N16</f>
        <v>8.7358711597522176E-2</v>
      </c>
      <c r="O17" s="35">
        <f>+(O16-'Expo 2014'!O16)/'Expo 2014'!O16</f>
        <v>-0.12889499840462973</v>
      </c>
      <c r="P17" s="35">
        <f>+(P16-'Expo 2014'!P16)/'Expo 2014'!P16</f>
        <v>0.44724394485824165</v>
      </c>
      <c r="R17" s="14"/>
    </row>
    <row r="18" spans="2:18" ht="18" customHeight="1" thickTop="1" thickBot="1">
      <c r="B18" s="260" t="s">
        <v>1</v>
      </c>
      <c r="C18" s="31" t="s">
        <v>65</v>
      </c>
      <c r="D18" s="34">
        <v>0.43468870000000004</v>
      </c>
      <c r="E18" s="34">
        <v>8.3356948299999996</v>
      </c>
      <c r="F18" s="52">
        <v>2.1147515799999996</v>
      </c>
      <c r="G18" s="52">
        <v>7.7225597300000022</v>
      </c>
      <c r="H18" s="52">
        <v>0.68539309000000015</v>
      </c>
      <c r="I18" s="52">
        <v>0.53991</v>
      </c>
      <c r="J18" s="52">
        <v>7.1310580399999983</v>
      </c>
      <c r="K18" s="52">
        <v>4.5760742599999995</v>
      </c>
      <c r="L18" s="52">
        <v>9.5977530600000005</v>
      </c>
      <c r="M18" s="52">
        <v>1.4967967099999999</v>
      </c>
      <c r="N18" s="52">
        <v>1.7983602500000002</v>
      </c>
      <c r="O18" s="52">
        <v>13.968467630000001</v>
      </c>
      <c r="P18" s="52">
        <f>SUM(D18:O18)</f>
        <v>58.401507879999997</v>
      </c>
      <c r="R18" s="57"/>
    </row>
    <row r="19" spans="2:18" ht="18" customHeight="1" thickTop="1" thickBot="1">
      <c r="B19" s="260"/>
      <c r="C19" s="29" t="s">
        <v>59</v>
      </c>
      <c r="D19" s="34">
        <v>0.80906043999999999</v>
      </c>
      <c r="E19" s="34">
        <v>0.97915215</v>
      </c>
      <c r="F19" s="52">
        <v>0.74270656999999995</v>
      </c>
      <c r="G19" s="52">
        <v>0.80860879999999979</v>
      </c>
      <c r="H19" s="52">
        <v>0.79463840000000008</v>
      </c>
      <c r="I19" s="52">
        <v>0.46908135000000012</v>
      </c>
      <c r="J19" s="52">
        <v>0.62456816000000004</v>
      </c>
      <c r="K19" s="52">
        <v>0.52407341000000007</v>
      </c>
      <c r="L19" s="52">
        <v>0.9261279</v>
      </c>
      <c r="M19" s="52">
        <v>0.73401126999999999</v>
      </c>
      <c r="N19" s="52">
        <v>0.15952825999999998</v>
      </c>
      <c r="O19" s="52">
        <v>0.24944314000000001</v>
      </c>
      <c r="P19" s="52">
        <f>SUM(D19:O19)</f>
        <v>7.8209998499999998</v>
      </c>
      <c r="R19" s="57"/>
    </row>
    <row r="20" spans="2:18" ht="18" customHeight="1" thickTop="1" thickBot="1">
      <c r="B20" s="260"/>
      <c r="C20" s="29" t="s">
        <v>60</v>
      </c>
      <c r="D20" s="34">
        <v>7.5151390000000012E-2</v>
      </c>
      <c r="E20" s="34">
        <v>8.0158880000000002E-2</v>
      </c>
      <c r="F20" s="52">
        <v>0.11263817</v>
      </c>
      <c r="G20" s="52">
        <v>9.9353860000000002E-2</v>
      </c>
      <c r="H20" s="52">
        <v>0.17712957999999995</v>
      </c>
      <c r="I20" s="52">
        <v>0.10806784999999999</v>
      </c>
      <c r="J20" s="52">
        <v>0.10190035999999998</v>
      </c>
      <c r="K20" s="52">
        <v>5.7353659999999994E-2</v>
      </c>
      <c r="L20" s="52">
        <v>0.11401987999999999</v>
      </c>
      <c r="M20" s="52">
        <v>4.9509759999999993E-2</v>
      </c>
      <c r="N20" s="52">
        <v>0.15647706000000006</v>
      </c>
      <c r="O20" s="52">
        <v>7.6059580000000002E-2</v>
      </c>
      <c r="P20" s="52">
        <f>SUM(D20:O20)</f>
        <v>1.2078200299999997</v>
      </c>
      <c r="R20" s="57"/>
    </row>
    <row r="21" spans="2:18" ht="18" customHeight="1" thickTop="1" thickBot="1">
      <c r="B21" s="260"/>
      <c r="C21" s="29" t="s">
        <v>139</v>
      </c>
      <c r="D21" s="34">
        <f>+D18+D19+D20</f>
        <v>1.3189005300000001</v>
      </c>
      <c r="E21" s="34">
        <f t="shared" ref="E21:N21" si="3">+E18+E19+E20</f>
        <v>9.3950058599999995</v>
      </c>
      <c r="F21" s="52">
        <f t="shared" si="3"/>
        <v>2.9700963199999992</v>
      </c>
      <c r="G21" s="52">
        <f t="shared" si="3"/>
        <v>8.630522390000003</v>
      </c>
      <c r="H21" s="52">
        <f t="shared" si="3"/>
        <v>1.6571610700000001</v>
      </c>
      <c r="I21" s="52">
        <f t="shared" si="3"/>
        <v>1.1170592000000001</v>
      </c>
      <c r="J21" s="52">
        <f t="shared" si="3"/>
        <v>7.8575265599999984</v>
      </c>
      <c r="K21" s="52">
        <f t="shared" si="3"/>
        <v>5.1575013299999997</v>
      </c>
      <c r="L21" s="52">
        <f t="shared" si="3"/>
        <v>10.63790084</v>
      </c>
      <c r="M21" s="52">
        <f t="shared" si="3"/>
        <v>2.2803177399999996</v>
      </c>
      <c r="N21" s="52">
        <f t="shared" si="3"/>
        <v>2.1143655700000004</v>
      </c>
      <c r="O21" s="52">
        <f>+O18+O19+O20</f>
        <v>14.293970350000002</v>
      </c>
      <c r="P21" s="52">
        <f>+P18+P19+P20</f>
        <v>67.430327759999983</v>
      </c>
      <c r="R21" s="46">
        <f>+D21+E21+F21+G21</f>
        <v>22.314525100000004</v>
      </c>
    </row>
    <row r="22" spans="2:18" ht="18" customHeight="1" thickTop="1" thickBot="1">
      <c r="B22" s="260"/>
      <c r="C22" s="32" t="s">
        <v>67</v>
      </c>
      <c r="D22" s="35">
        <f>+(D21-'Expo 2014'!D21)/'Expo 2014'!D21</f>
        <v>0.11769749933144946</v>
      </c>
      <c r="E22" s="35">
        <f>+(E21-'Expo 2014'!E21)/'Expo 2014'!E21</f>
        <v>-7.1846715336630257E-2</v>
      </c>
      <c r="F22" s="35">
        <f>+(F21-'Expo 2014'!F21)/'Expo 2014'!F21</f>
        <v>-0.29828971461340492</v>
      </c>
      <c r="G22" s="35">
        <f>+(G21-'Expo 2014'!G21)/'Expo 2014'!G21</f>
        <v>0.22730999416662057</v>
      </c>
      <c r="H22" s="35">
        <f>+(H21-'Expo 2014'!H21)/'Expo 2014'!H21</f>
        <v>-0.48195612386027314</v>
      </c>
      <c r="I22" s="35">
        <f>+(I21-'Expo 2014'!I21)/'Expo 2014'!I21</f>
        <v>-0.5791913123048833</v>
      </c>
      <c r="J22" s="35">
        <f>+(J21-'Expo 2014'!J21)/'Expo 2014'!J21</f>
        <v>1.2759241057720934</v>
      </c>
      <c r="K22" s="35">
        <f>+(K21-'Expo 2014'!K21)/'Expo 2014'!K21</f>
        <v>0.15754030628371671</v>
      </c>
      <c r="L22" s="35">
        <f>+(L21-'Expo 2014'!L21)/'Expo 2014'!L21</f>
        <v>-0.46948872001496106</v>
      </c>
      <c r="M22" s="35">
        <f>+(M21-'Expo 2014'!M21)/'Expo 2014'!M21</f>
        <v>-0.84930914144823211</v>
      </c>
      <c r="N22" s="35">
        <f>+(N21-'Expo 2014'!N21)/'Expo 2014'!N21</f>
        <v>-0.74514373384973986</v>
      </c>
      <c r="O22" s="35">
        <f>+(O21-'Expo 2014'!O21)/'Expo 2014'!O21</f>
        <v>6.7231083190557213</v>
      </c>
      <c r="P22" s="35">
        <f>+(P21-'Expo 2014'!P21)/'Expo 2014'!P21</f>
        <v>-0.17425663476768588</v>
      </c>
      <c r="R22" s="14"/>
    </row>
    <row r="23" spans="2:18" ht="18" customHeight="1" thickTop="1" thickBot="1">
      <c r="B23" s="260" t="s">
        <v>2</v>
      </c>
      <c r="C23" s="31" t="s">
        <v>65</v>
      </c>
      <c r="D23" s="34">
        <v>5.6186870000000007E-2</v>
      </c>
      <c r="E23" s="34">
        <v>0.46861155000000004</v>
      </c>
      <c r="F23" s="34">
        <v>4.3703609999999997E-2</v>
      </c>
      <c r="G23" s="34">
        <v>4.3406499999999997E-3</v>
      </c>
      <c r="H23" s="34">
        <v>0.10585789</v>
      </c>
      <c r="I23" s="34">
        <v>0.11589802</v>
      </c>
      <c r="J23" s="34">
        <v>5.3515690000000005E-2</v>
      </c>
      <c r="K23" s="34">
        <v>0.11104225</v>
      </c>
      <c r="L23" s="34">
        <v>0.26407522</v>
      </c>
      <c r="M23" s="34">
        <v>5.605889E-2</v>
      </c>
      <c r="N23" s="34">
        <v>0.81464887999999991</v>
      </c>
      <c r="O23" s="34">
        <v>0.74550738999999999</v>
      </c>
      <c r="P23" s="34">
        <f>SUM(D23:O23)</f>
        <v>2.8394469100000004</v>
      </c>
      <c r="R23" s="57"/>
    </row>
    <row r="24" spans="2:18" ht="18" customHeight="1" thickTop="1" thickBot="1">
      <c r="B24" s="260"/>
      <c r="C24" s="29" t="s">
        <v>59</v>
      </c>
      <c r="D24" s="34">
        <v>2.8364754800000003</v>
      </c>
      <c r="E24" s="34">
        <v>3.5665974800000004</v>
      </c>
      <c r="F24" s="34">
        <v>1.5965739400000001</v>
      </c>
      <c r="G24" s="34">
        <v>3.3711673500000003</v>
      </c>
      <c r="H24" s="34">
        <v>1.2819688800000002</v>
      </c>
      <c r="I24" s="34">
        <v>2.4325096900000003</v>
      </c>
      <c r="J24" s="34">
        <v>4.6079098099999989</v>
      </c>
      <c r="K24" s="34">
        <v>2.4575598400000001</v>
      </c>
      <c r="L24" s="34">
        <v>4.6451421499999999</v>
      </c>
      <c r="M24" s="34">
        <v>4.4801174100000001</v>
      </c>
      <c r="N24" s="34">
        <v>2.9952622499999997</v>
      </c>
      <c r="O24" s="34">
        <v>4.2386843500000007</v>
      </c>
      <c r="P24" s="34">
        <f>SUM(D24:O24)</f>
        <v>38.509968630000003</v>
      </c>
      <c r="R24" s="57"/>
    </row>
    <row r="25" spans="2:18" ht="18" customHeight="1" thickTop="1" thickBot="1">
      <c r="B25" s="260"/>
      <c r="C25" s="29" t="s">
        <v>60</v>
      </c>
      <c r="D25" s="34">
        <v>2.3363359400000001</v>
      </c>
      <c r="E25" s="34">
        <v>0.33678417999999999</v>
      </c>
      <c r="F25" s="34">
        <v>8.4648519999999991E-2</v>
      </c>
      <c r="G25" s="34">
        <v>0.21416651</v>
      </c>
      <c r="H25" s="34">
        <v>4.3982990000000013E-2</v>
      </c>
      <c r="I25" s="34">
        <v>1.4174250300000002</v>
      </c>
      <c r="J25" s="34">
        <v>4.6648599999999981E-3</v>
      </c>
      <c r="K25" s="34">
        <v>0.38035429999999992</v>
      </c>
      <c r="L25" s="34">
        <v>0.49844027000000007</v>
      </c>
      <c r="M25" s="34">
        <v>1.7724576800000005</v>
      </c>
      <c r="N25" s="34">
        <v>0.39713885999999993</v>
      </c>
      <c r="O25" s="34">
        <v>0.64885716999999998</v>
      </c>
      <c r="P25" s="34">
        <f>SUM(D25:O25)</f>
        <v>8.1352563100000008</v>
      </c>
      <c r="R25" s="57"/>
    </row>
    <row r="26" spans="2:18" ht="18" customHeight="1" thickTop="1" thickBot="1">
      <c r="B26" s="260"/>
      <c r="C26" s="29" t="s">
        <v>139</v>
      </c>
      <c r="D26" s="34">
        <f>+D23+D24+D25</f>
        <v>5.2289982899999998</v>
      </c>
      <c r="E26" s="34">
        <f t="shared" ref="E26:P26" si="4">+E23+E24+E25</f>
        <v>4.3719932100000012</v>
      </c>
      <c r="F26" s="34">
        <f t="shared" si="4"/>
        <v>1.72492607</v>
      </c>
      <c r="G26" s="34">
        <f t="shared" si="4"/>
        <v>3.5896745100000005</v>
      </c>
      <c r="H26" s="52">
        <f t="shared" si="4"/>
        <v>1.4318097600000002</v>
      </c>
      <c r="I26" s="52">
        <f t="shared" si="4"/>
        <v>3.9658327400000006</v>
      </c>
      <c r="J26" s="52">
        <f t="shared" si="4"/>
        <v>4.6660903599999992</v>
      </c>
      <c r="K26" s="52">
        <f t="shared" si="4"/>
        <v>2.9489563900000002</v>
      </c>
      <c r="L26" s="52">
        <f t="shared" si="4"/>
        <v>5.4076576399999992</v>
      </c>
      <c r="M26" s="52">
        <f t="shared" si="4"/>
        <v>6.3086339800000006</v>
      </c>
      <c r="N26" s="52">
        <f t="shared" si="4"/>
        <v>4.2070499899999998</v>
      </c>
      <c r="O26" s="52">
        <f t="shared" si="4"/>
        <v>5.6330489100000012</v>
      </c>
      <c r="P26" s="52">
        <f t="shared" si="4"/>
        <v>49.484671850000005</v>
      </c>
      <c r="R26" s="46">
        <f>+D26+E26+F26+G26</f>
        <v>14.915592080000001</v>
      </c>
    </row>
    <row r="27" spans="2:18" ht="18" customHeight="1" thickTop="1" thickBot="1">
      <c r="B27" s="260"/>
      <c r="C27" s="32" t="s">
        <v>67</v>
      </c>
      <c r="D27" s="35">
        <f>+(D26-'Expo 2014'!D26)/'Expo 2014'!D26</f>
        <v>-0.12007912101701207</v>
      </c>
      <c r="E27" s="35">
        <f>+(E26-'Expo 2014'!E26)/'Expo 2014'!E26</f>
        <v>-0.19761496698247447</v>
      </c>
      <c r="F27" s="35">
        <f>+(F26-'Expo 2014'!F26)/'Expo 2014'!F26</f>
        <v>-0.75158304655799235</v>
      </c>
      <c r="G27" s="35">
        <f>+(G26-'Expo 2014'!G26)/'Expo 2014'!G26</f>
        <v>-0.48527399701942886</v>
      </c>
      <c r="H27" s="35">
        <f>+(H26-'Expo 2014'!H26)/'Expo 2014'!H26</f>
        <v>-0.8181722090749175</v>
      </c>
      <c r="I27" s="35">
        <f>+(I26-'Expo 2014'!I26)/'Expo 2014'!I26</f>
        <v>-0.4984800414743894</v>
      </c>
      <c r="J27" s="35">
        <f>+(J26-'Expo 2014'!J26)/'Expo 2014'!J26</f>
        <v>-0.34098881510054024</v>
      </c>
      <c r="K27" s="35">
        <f>+(K26-'Expo 2014'!K26)/'Expo 2014'!K26</f>
        <v>-0.67965315737572163</v>
      </c>
      <c r="L27" s="35">
        <f>+(L26-'Expo 2014'!L26)/'Expo 2014'!L26</f>
        <v>0.26554745014342995</v>
      </c>
      <c r="M27" s="35">
        <f>+(M26-'Expo 2014'!M26)/'Expo 2014'!M26</f>
        <v>-1.9915681168161108E-2</v>
      </c>
      <c r="N27" s="35">
        <f>+(N26-'Expo 2014'!N26)/'Expo 2014'!N26</f>
        <v>-0.50319350317933598</v>
      </c>
      <c r="O27" s="35">
        <f>+(O26-'Expo 2014'!O26)/'Expo 2014'!O26</f>
        <v>-0.36611075704171175</v>
      </c>
      <c r="P27" s="35">
        <f>+(P26-'Expo 2014'!P26)/'Expo 2014'!P26</f>
        <v>-0.42083596387926381</v>
      </c>
      <c r="R27" s="14"/>
    </row>
    <row r="28" spans="2:18" s="3" customFormat="1" ht="18" customHeight="1" thickTop="1" thickBot="1">
      <c r="B28" s="260" t="s">
        <v>5</v>
      </c>
      <c r="C28" s="31" t="s">
        <v>65</v>
      </c>
      <c r="D28" s="34">
        <v>4.2564780000000004</v>
      </c>
      <c r="E28" s="34">
        <v>2.7637529999999999</v>
      </c>
      <c r="F28" s="34">
        <v>3.7737419999999999</v>
      </c>
      <c r="G28" s="34">
        <v>3.7272059999999998</v>
      </c>
      <c r="H28" s="34">
        <v>5.5310420000000002</v>
      </c>
      <c r="I28" s="34">
        <v>3.8501400000000001</v>
      </c>
      <c r="J28" s="34">
        <v>2.7974730000000001</v>
      </c>
      <c r="K28" s="34">
        <v>3.4958640000000001</v>
      </c>
      <c r="L28" s="34">
        <v>5.3345349999999998</v>
      </c>
      <c r="M28" s="34">
        <v>2.4749530000000002</v>
      </c>
      <c r="N28" s="34">
        <v>2.7290329999999998</v>
      </c>
      <c r="O28" s="34">
        <v>3.4767869999999998</v>
      </c>
      <c r="P28" s="34">
        <f>SUM(D28:O28)</f>
        <v>44.211006000000005</v>
      </c>
      <c r="R28" s="57"/>
    </row>
    <row r="29" spans="2:18" s="3" customFormat="1" ht="18" customHeight="1" thickTop="1" thickBot="1">
      <c r="B29" s="260"/>
      <c r="C29" s="29" t="s">
        <v>59</v>
      </c>
      <c r="D29" s="34">
        <v>3.0635659999999998</v>
      </c>
      <c r="E29" s="34">
        <v>2.7965930000000001</v>
      </c>
      <c r="F29" s="34">
        <v>3.0793569999999999</v>
      </c>
      <c r="G29" s="34">
        <v>4.2497619999999996</v>
      </c>
      <c r="H29" s="34">
        <v>4.7485119999999998</v>
      </c>
      <c r="I29" s="34">
        <v>3.8105150000000001</v>
      </c>
      <c r="J29" s="34">
        <v>3.7769620000000002</v>
      </c>
      <c r="K29" s="34">
        <v>2.4713989999999999</v>
      </c>
      <c r="L29" s="34">
        <v>2.6617700000000002</v>
      </c>
      <c r="M29" s="34">
        <v>2.8973149999999999</v>
      </c>
      <c r="N29" s="34">
        <v>1.862414</v>
      </c>
      <c r="O29" s="34">
        <v>0.949013</v>
      </c>
      <c r="P29" s="34">
        <f>SUM(D29:O29)</f>
        <v>36.367178000000003</v>
      </c>
      <c r="R29" s="57"/>
    </row>
    <row r="30" spans="2:18" s="3" customFormat="1" ht="18" customHeight="1" thickTop="1" thickBot="1">
      <c r="B30" s="260"/>
      <c r="C30" s="29" t="s">
        <v>60</v>
      </c>
      <c r="D30" s="34">
        <v>1.13E-4</v>
      </c>
      <c r="E30" s="34">
        <v>6.1729999999999997E-3</v>
      </c>
      <c r="F30" s="34">
        <v>8.2299999999999995E-4</v>
      </c>
      <c r="G30" s="34">
        <v>6.1349999999999998E-3</v>
      </c>
      <c r="H30" s="34">
        <v>4.1019999999999997E-3</v>
      </c>
      <c r="I30" s="34">
        <v>3.1649999999999998E-3</v>
      </c>
      <c r="J30" s="34">
        <v>1.2236E-2</v>
      </c>
      <c r="K30" s="34">
        <v>3.4317E-2</v>
      </c>
      <c r="L30" s="34">
        <v>4.3969000000000001E-2</v>
      </c>
      <c r="M30" s="34">
        <v>1.5678000000000001E-2</v>
      </c>
      <c r="N30" s="34">
        <v>1.0481000000000001E-2</v>
      </c>
      <c r="O30" s="34">
        <v>2.1429999999999999E-3</v>
      </c>
      <c r="P30" s="34">
        <f>SUM(D30:O30)</f>
        <v>0.13933499999999999</v>
      </c>
      <c r="R30" s="57"/>
    </row>
    <row r="31" spans="2:18" s="3" customFormat="1" ht="18" customHeight="1" thickTop="1" thickBot="1">
      <c r="B31" s="260"/>
      <c r="C31" s="29" t="s">
        <v>139</v>
      </c>
      <c r="D31" s="34">
        <f>+D28+D29+D30</f>
        <v>7.320157</v>
      </c>
      <c r="E31" s="34">
        <f t="shared" ref="E31:P31" si="5">+E28+E29+E30</f>
        <v>5.5665190000000004</v>
      </c>
      <c r="F31" s="34">
        <f t="shared" si="5"/>
        <v>6.8539219999999998</v>
      </c>
      <c r="G31" s="34">
        <f t="shared" si="5"/>
        <v>7.9831029999999989</v>
      </c>
      <c r="H31" s="52">
        <f t="shared" si="5"/>
        <v>10.283656000000001</v>
      </c>
      <c r="I31" s="52">
        <f t="shared" si="5"/>
        <v>7.6638200000000003</v>
      </c>
      <c r="J31" s="52">
        <f t="shared" si="5"/>
        <v>6.5866709999999999</v>
      </c>
      <c r="K31" s="52">
        <f t="shared" si="5"/>
        <v>6.0015799999999997</v>
      </c>
      <c r="L31" s="52">
        <f t="shared" si="5"/>
        <v>8.0402740000000001</v>
      </c>
      <c r="M31" s="52">
        <f t="shared" si="5"/>
        <v>5.3879460000000003</v>
      </c>
      <c r="N31" s="52">
        <f t="shared" si="5"/>
        <v>4.601928</v>
      </c>
      <c r="O31" s="52">
        <f t="shared" si="5"/>
        <v>4.427943</v>
      </c>
      <c r="P31" s="34">
        <f t="shared" si="5"/>
        <v>80.71751900000001</v>
      </c>
      <c r="R31" s="46">
        <f>+D31+E31+F31+G31</f>
        <v>27.723701000000002</v>
      </c>
    </row>
    <row r="32" spans="2:18" s="3" customFormat="1" ht="18" customHeight="1" thickTop="1" thickBot="1">
      <c r="B32" s="260"/>
      <c r="C32" s="32" t="s">
        <v>67</v>
      </c>
      <c r="D32" s="35">
        <f>+(D31-'Expo 2014'!D31)/'Expo 2014'!D31</f>
        <v>-0.22618187084491304</v>
      </c>
      <c r="E32" s="35">
        <f>+(E31-'Expo 2014'!E31)/'Expo 2014'!E31</f>
        <v>-0.50767856087854635</v>
      </c>
      <c r="F32" s="35">
        <f>+(F31-'Expo 2014'!F31)/'Expo 2014'!F31</f>
        <v>-0.38210030409413248</v>
      </c>
      <c r="G32" s="35">
        <f>+(G31-'Expo 2014'!G31)/'Expo 2014'!G31</f>
        <v>-0.14736955205491145</v>
      </c>
      <c r="H32" s="35">
        <f>+(H31-'Expo 2014'!H31)/'Expo 2014'!H31</f>
        <v>-1.6117073583695892E-3</v>
      </c>
      <c r="I32" s="35">
        <f>+(I31-'Expo 2014'!I31)/'Expo 2014'!I31</f>
        <v>-2.8320236352960777E-2</v>
      </c>
      <c r="J32" s="35">
        <f>+(J31-'Expo 2014'!J31)/'Expo 2014'!J31</f>
        <v>-0.23014749016364069</v>
      </c>
      <c r="K32" s="35">
        <f>+(K31-'Expo 2014'!K31)/'Expo 2014'!K31</f>
        <v>-0.3055434861217583</v>
      </c>
      <c r="L32" s="35">
        <f>+(L31-'Expo 2014'!L31)/'Expo 2014'!L31</f>
        <v>0.32746089489608687</v>
      </c>
      <c r="M32" s="35">
        <f>+(M31-'Expo 2014'!M31)/'Expo 2014'!M31</f>
        <v>0.1728134417783061</v>
      </c>
      <c r="N32" s="35">
        <f>+(N31-'Expo 2014'!N31)/'Expo 2014'!N31</f>
        <v>-0.25031791123116931</v>
      </c>
      <c r="O32" s="35">
        <f>+(O31-'Expo 2014'!O31)/'Expo 2014'!O31</f>
        <v>-0.10662402025980063</v>
      </c>
      <c r="P32" s="35">
        <f>+(P31-'Expo 2014'!P31)/'Expo 2014'!P31</f>
        <v>-0.17930660277587737</v>
      </c>
      <c r="R32" s="14"/>
    </row>
    <row r="33" spans="2:19" s="3" customFormat="1" ht="18" customHeight="1" thickTop="1" thickBot="1">
      <c r="B33" s="260" t="s">
        <v>4</v>
      </c>
      <c r="C33" s="31" t="s">
        <v>65</v>
      </c>
      <c r="D33" s="34">
        <v>0.1121719</v>
      </c>
      <c r="E33" s="34">
        <v>0.12969117999999999</v>
      </c>
      <c r="F33" s="34">
        <v>0.43550997999999996</v>
      </c>
      <c r="G33" s="34">
        <v>0.45999668999999982</v>
      </c>
      <c r="H33" s="34">
        <v>0.35010202000000007</v>
      </c>
      <c r="I33" s="34">
        <v>1.0432524100000002</v>
      </c>
      <c r="J33" s="34">
        <v>0.44118838000000005</v>
      </c>
      <c r="K33" s="34">
        <v>0.20023498000000001</v>
      </c>
      <c r="L33" s="34">
        <v>0.39419537999999998</v>
      </c>
      <c r="M33" s="34">
        <v>0.40005696000000007</v>
      </c>
      <c r="N33" s="34">
        <v>0.30954748000000004</v>
      </c>
      <c r="O33" s="34">
        <v>0.68039498000000043</v>
      </c>
      <c r="P33" s="34">
        <f>SUM(D33:O33)</f>
        <v>4.9563423400000008</v>
      </c>
      <c r="R33" s="57"/>
    </row>
    <row r="34" spans="2:19" s="3" customFormat="1" ht="18" customHeight="1" thickTop="1" thickBot="1">
      <c r="B34" s="260"/>
      <c r="C34" s="29" t="s">
        <v>59</v>
      </c>
      <c r="D34" s="34">
        <v>8.1869999999999998E-2</v>
      </c>
      <c r="E34" s="34">
        <v>6.2313609999999998E-2</v>
      </c>
      <c r="F34" s="34">
        <v>0.197495</v>
      </c>
      <c r="G34" s="34">
        <v>0.17943700000000001</v>
      </c>
      <c r="H34" s="34">
        <v>0.13242000000000001</v>
      </c>
      <c r="I34" s="34">
        <v>0.14403099999999999</v>
      </c>
      <c r="J34" s="34">
        <v>2.433339E-2</v>
      </c>
      <c r="K34" s="34">
        <v>0.35280735000000002</v>
      </c>
      <c r="L34" s="34">
        <v>0.22305900000000001</v>
      </c>
      <c r="M34" s="34">
        <v>0.19970568</v>
      </c>
      <c r="N34" s="34">
        <v>0.20075599999999999</v>
      </c>
      <c r="O34" s="34">
        <v>0.10748545</v>
      </c>
      <c r="P34" s="34">
        <f>SUM(D34:O34)</f>
        <v>1.90571348</v>
      </c>
      <c r="R34" s="57"/>
    </row>
    <row r="35" spans="2:19" s="3" customFormat="1" ht="18" customHeight="1" thickTop="1" thickBot="1">
      <c r="B35" s="260"/>
      <c r="C35" s="29" t="s">
        <v>60</v>
      </c>
      <c r="D35" s="34">
        <v>2.6795000000000013E-3</v>
      </c>
      <c r="E35" s="34">
        <v>1.4999999999999999E-4</v>
      </c>
      <c r="F35" s="34">
        <v>1.9452220000000003E-2</v>
      </c>
      <c r="G35" s="34">
        <v>0.12079474000000001</v>
      </c>
      <c r="H35" s="34">
        <v>6.0316410000000001E-2</v>
      </c>
      <c r="I35" s="34">
        <v>0.14004182999999998</v>
      </c>
      <c r="J35" s="34">
        <v>4.6413740000000016E-2</v>
      </c>
      <c r="K35" s="34">
        <v>2.2993E-2</v>
      </c>
      <c r="L35" s="34">
        <v>2.3353680000000002E-2</v>
      </c>
      <c r="M35" s="34">
        <v>0.17022936999999999</v>
      </c>
      <c r="N35" s="34">
        <v>2.8643100000000001E-3</v>
      </c>
      <c r="O35" s="34">
        <v>0.95082529000000016</v>
      </c>
      <c r="P35" s="34">
        <f>SUM(D35:O35)</f>
        <v>1.5601140900000001</v>
      </c>
      <c r="R35" s="57"/>
    </row>
    <row r="36" spans="2:19" s="3" customFormat="1" ht="18" customHeight="1" thickTop="1" thickBot="1">
      <c r="B36" s="260"/>
      <c r="C36" s="29" t="s">
        <v>139</v>
      </c>
      <c r="D36" s="34">
        <f t="shared" ref="D36:P36" si="6">+D33+D34+D35</f>
        <v>0.19672139999999999</v>
      </c>
      <c r="E36" s="34">
        <f t="shared" si="6"/>
        <v>0.19215478999999999</v>
      </c>
      <c r="F36" s="34">
        <f t="shared" si="6"/>
        <v>0.65245719999999996</v>
      </c>
      <c r="G36" s="34">
        <f t="shared" si="6"/>
        <v>0.76022842999999984</v>
      </c>
      <c r="H36" s="52">
        <f t="shared" si="6"/>
        <v>0.54283843000000009</v>
      </c>
      <c r="I36" s="52">
        <f t="shared" si="6"/>
        <v>1.3273252400000002</v>
      </c>
      <c r="J36" s="52">
        <f t="shared" si="6"/>
        <v>0.51193551000000004</v>
      </c>
      <c r="K36" s="52">
        <f t="shared" si="6"/>
        <v>0.57603533000000007</v>
      </c>
      <c r="L36" s="52">
        <f t="shared" si="6"/>
        <v>0.64060806000000003</v>
      </c>
      <c r="M36" s="52">
        <f t="shared" si="6"/>
        <v>0.76999200999999995</v>
      </c>
      <c r="N36" s="52">
        <f t="shared" si="6"/>
        <v>0.51316779000000001</v>
      </c>
      <c r="O36" s="52">
        <f t="shared" si="6"/>
        <v>1.7387057200000005</v>
      </c>
      <c r="P36" s="52">
        <f t="shared" si="6"/>
        <v>8.4221699100000009</v>
      </c>
      <c r="R36" s="46">
        <f>+D36+E36+F36+G36</f>
        <v>1.8015618199999999</v>
      </c>
    </row>
    <row r="37" spans="2:19" s="3" customFormat="1" ht="18" customHeight="1" thickTop="1" thickBot="1">
      <c r="B37" s="260"/>
      <c r="C37" s="32" t="s">
        <v>67</v>
      </c>
      <c r="D37" s="35">
        <f>+(D36-'Expo 2014'!D36)/'Expo 2014'!D36</f>
        <v>-0.84157215356948079</v>
      </c>
      <c r="E37" s="35">
        <f>+(E36-'Expo 2014'!E36)/'Expo 2014'!E36</f>
        <v>-0.2904649319880605</v>
      </c>
      <c r="F37" s="35">
        <f>+(F36-'Expo 2014'!F36)/'Expo 2014'!F36</f>
        <v>0.67235826955313704</v>
      </c>
      <c r="G37" s="35">
        <f>+(G36-'Expo 2014'!G36)/'Expo 2014'!G36</f>
        <v>-0.10249799161626118</v>
      </c>
      <c r="H37" s="35">
        <f>+(H36-'Expo 2014'!H36)/'Expo 2014'!H36</f>
        <v>-0.40080106166826185</v>
      </c>
      <c r="I37" s="35">
        <f>+(I36-'Expo 2014'!I36)/'Expo 2014'!I36</f>
        <v>0.77187752905410756</v>
      </c>
      <c r="J37" s="35">
        <f>+(J36-'Expo 2014'!J36)/'Expo 2014'!J36</f>
        <v>0.22763765757946916</v>
      </c>
      <c r="K37" s="35">
        <f>+(K36-'Expo 2014'!K36)/'Expo 2014'!K36</f>
        <v>0.28037507443112886</v>
      </c>
      <c r="L37" s="35">
        <f>+(L36-'Expo 2014'!L36)/'Expo 2014'!L36</f>
        <v>-0.23777746749336112</v>
      </c>
      <c r="M37" s="35">
        <f>+(M36-'Expo 2014'!M36)/'Expo 2014'!M36</f>
        <v>-0.24827830759683286</v>
      </c>
      <c r="N37" s="35">
        <f>+(N36-'Expo 2014'!N36)/'Expo 2014'!N36</f>
        <v>1.02746378387365</v>
      </c>
      <c r="O37" s="35">
        <f>+(O36-'Expo 2014'!O36)/'Expo 2014'!O36</f>
        <v>1.494002830103685</v>
      </c>
      <c r="P37" s="35">
        <f>+(P36-'Expo 2014'!P36)/'Expo 2014'!P36</f>
        <v>4.1486047441465286E-2</v>
      </c>
      <c r="R37" s="14"/>
    </row>
    <row r="38" spans="2:19" s="3" customFormat="1" ht="18" customHeight="1" thickTop="1" thickBot="1">
      <c r="B38" s="260" t="s">
        <v>10</v>
      </c>
      <c r="C38" s="31" t="s">
        <v>65</v>
      </c>
      <c r="D38" s="34">
        <v>4.9323993199999991</v>
      </c>
      <c r="E38" s="34">
        <v>4.1489078099999999</v>
      </c>
      <c r="F38" s="34">
        <v>4.9519508700000001</v>
      </c>
      <c r="G38" s="34">
        <v>5.4158935999999995</v>
      </c>
      <c r="H38" s="34">
        <v>6.0570135699999996</v>
      </c>
      <c r="I38" s="34">
        <v>5.3035954699999994</v>
      </c>
      <c r="J38" s="34">
        <v>4.9029413600000016</v>
      </c>
      <c r="K38" s="34">
        <v>5.1810207300000002</v>
      </c>
      <c r="L38" s="34">
        <v>4.8499225700000013</v>
      </c>
      <c r="M38" s="34">
        <v>4.6892079800000008</v>
      </c>
      <c r="N38" s="34">
        <v>4.06111281</v>
      </c>
      <c r="O38" s="34">
        <v>3.3119966499999998</v>
      </c>
      <c r="P38" s="34">
        <f>SUM(D38:O38)</f>
        <v>57.805962739999998</v>
      </c>
      <c r="R38" s="57"/>
    </row>
    <row r="39" spans="2:19" s="3" customFormat="1" ht="18" customHeight="1" thickTop="1" thickBot="1">
      <c r="B39" s="260"/>
      <c r="C39" s="29" t="s">
        <v>59</v>
      </c>
      <c r="D39" s="34">
        <v>6.8051911699999996</v>
      </c>
      <c r="E39" s="34">
        <v>5.7403885900000011</v>
      </c>
      <c r="F39" s="34">
        <v>6.407258360000001</v>
      </c>
      <c r="G39" s="34">
        <v>6.1913058500000009</v>
      </c>
      <c r="H39" s="34">
        <v>7.8742430700000003</v>
      </c>
      <c r="I39" s="34">
        <v>6.8339551900000002</v>
      </c>
      <c r="J39" s="34">
        <v>5.9678299399999997</v>
      </c>
      <c r="K39" s="34">
        <v>5.2611142900000001</v>
      </c>
      <c r="L39" s="34">
        <v>4.5378148400000002</v>
      </c>
      <c r="M39" s="34">
        <v>6.2603468700000002</v>
      </c>
      <c r="N39" s="34">
        <v>6.8606256100000005</v>
      </c>
      <c r="O39" s="34">
        <v>6.023000370000001</v>
      </c>
      <c r="P39" s="34">
        <f>SUM(D39:O39)</f>
        <v>74.763074150000008</v>
      </c>
      <c r="R39" s="57"/>
    </row>
    <row r="40" spans="2:19" s="3" customFormat="1" ht="18" customHeight="1" thickTop="1" thickBot="1">
      <c r="B40" s="260"/>
      <c r="C40" s="29" t="s">
        <v>60</v>
      </c>
      <c r="D40" s="34">
        <v>1.6000000000000001E-3</v>
      </c>
      <c r="E40" s="34">
        <v>2.2868930000000003E-2</v>
      </c>
      <c r="F40" s="34">
        <v>5.5111499999999994E-3</v>
      </c>
      <c r="G40" s="34">
        <v>3.3889800000000006E-3</v>
      </c>
      <c r="H40" s="34">
        <v>1.0108000000000001E-2</v>
      </c>
      <c r="I40" s="34">
        <v>1.96799E-2</v>
      </c>
      <c r="J40" s="34">
        <v>2.4910889999999998E-2</v>
      </c>
      <c r="K40" s="34">
        <v>0</v>
      </c>
      <c r="L40" s="34">
        <v>1.8932E-3</v>
      </c>
      <c r="M40" s="34">
        <v>2.8600000000000001E-4</v>
      </c>
      <c r="N40" s="34">
        <v>5.0210000000000003E-3</v>
      </c>
      <c r="O40" s="34">
        <v>3.9446050000000003E-2</v>
      </c>
      <c r="P40" s="34">
        <f>SUM(D40:O40)</f>
        <v>0.1347141</v>
      </c>
      <c r="R40" s="57"/>
    </row>
    <row r="41" spans="2:19" s="3" customFormat="1" ht="18" customHeight="1" thickTop="1" thickBot="1">
      <c r="B41" s="260"/>
      <c r="C41" s="29" t="s">
        <v>139</v>
      </c>
      <c r="D41" s="34">
        <f>+D38+D39+D40</f>
        <v>11.739190489999999</v>
      </c>
      <c r="E41" s="34">
        <f t="shared" ref="E41:Q41" si="7">+E38+E39+E40</f>
        <v>9.9121653300000006</v>
      </c>
      <c r="F41" s="34">
        <f t="shared" si="7"/>
        <v>11.364720380000001</v>
      </c>
      <c r="G41" s="34">
        <f t="shared" si="7"/>
        <v>11.61058843</v>
      </c>
      <c r="H41" s="34">
        <f t="shared" si="7"/>
        <v>13.941364640000002</v>
      </c>
      <c r="I41" s="52">
        <f t="shared" si="7"/>
        <v>12.157230559999999</v>
      </c>
      <c r="J41" s="52">
        <f t="shared" si="7"/>
        <v>10.89568219</v>
      </c>
      <c r="K41" s="52">
        <f t="shared" si="7"/>
        <v>10.44213502</v>
      </c>
      <c r="L41" s="52">
        <f t="shared" si="7"/>
        <v>9.3896306100000011</v>
      </c>
      <c r="M41" s="52">
        <f t="shared" si="7"/>
        <v>10.949840850000001</v>
      </c>
      <c r="N41" s="52">
        <f t="shared" si="7"/>
        <v>10.92675942</v>
      </c>
      <c r="O41" s="52">
        <f t="shared" si="7"/>
        <v>9.3744430700000017</v>
      </c>
      <c r="P41" s="34">
        <f t="shared" si="7"/>
        <v>132.70375099</v>
      </c>
      <c r="Q41" s="52">
        <f t="shared" si="7"/>
        <v>0</v>
      </c>
      <c r="R41" s="46">
        <f>+D41+E41+F41+G41</f>
        <v>44.62666463</v>
      </c>
    </row>
    <row r="42" spans="2:19" s="3" customFormat="1" ht="18" customHeight="1" thickTop="1" thickBot="1">
      <c r="B42" s="260"/>
      <c r="C42" s="32" t="s">
        <v>67</v>
      </c>
      <c r="D42" s="35">
        <f>+(D41-'Expo 2014'!D41)/'Expo 2014'!D41</f>
        <v>0.42289847084774174</v>
      </c>
      <c r="E42" s="35">
        <f>+(E41-'Expo 2014'!E41)/'Expo 2014'!E41</f>
        <v>1.1999614891154323E-2</v>
      </c>
      <c r="F42" s="35">
        <f>+(F41-'Expo 2014'!F41)/'Expo 2014'!F41</f>
        <v>0.20817209340533541</v>
      </c>
      <c r="G42" s="35">
        <f>+(G41-'Expo 2014'!G41)/'Expo 2014'!G41</f>
        <v>0.30327515800394589</v>
      </c>
      <c r="H42" s="35">
        <f>+(H41-'Expo 2014'!H41)/'Expo 2014'!H41</f>
        <v>0.50570754562786635</v>
      </c>
      <c r="I42" s="35">
        <f>+(I41-'Expo 2014'!I41)/'Expo 2014'!I41</f>
        <v>0.4369907663031864</v>
      </c>
      <c r="J42" s="35">
        <f>+(J41-'Expo 2014'!J41)/'Expo 2014'!J41</f>
        <v>0.11525797682772715</v>
      </c>
      <c r="K42" s="35">
        <f>+(K41-'Expo 2014'!K41)/'Expo 2014'!K41</f>
        <v>0.38093630965915376</v>
      </c>
      <c r="L42" s="35">
        <f>+(L41-'Expo 2014'!L41)/'Expo 2014'!L41</f>
        <v>9.8930651947226764E-2</v>
      </c>
      <c r="M42" s="35">
        <f>+(M41-'Expo 2014'!M41)/'Expo 2014'!M41</f>
        <v>0.19862227433876012</v>
      </c>
      <c r="N42" s="35">
        <f>+(N41-'Expo 2014'!N41)/'Expo 2014'!N41</f>
        <v>0.20675281495124118</v>
      </c>
      <c r="O42" s="35">
        <f>+(O41-'Expo 2014'!O41)/'Expo 2014'!O41</f>
        <v>0.25815263330462446</v>
      </c>
      <c r="P42" s="35">
        <f>+(P41-'Expo 2014'!P41)/'Expo 2014'!P41</f>
        <v>0.25671222148490935</v>
      </c>
      <c r="R42" s="14"/>
    </row>
    <row r="43" spans="2:19" s="3" customFormat="1" ht="18" customHeight="1" thickTop="1" thickBot="1">
      <c r="B43" s="260" t="s">
        <v>11</v>
      </c>
      <c r="C43" s="31" t="s">
        <v>65</v>
      </c>
      <c r="D43" s="34">
        <v>5.9734610000000004</v>
      </c>
      <c r="E43" s="34">
        <v>8.5089939999999995</v>
      </c>
      <c r="F43" s="34">
        <v>11.234628000000001</v>
      </c>
      <c r="G43" s="34">
        <v>10.681305999999999</v>
      </c>
      <c r="H43" s="34">
        <v>11.052921</v>
      </c>
      <c r="I43" s="34">
        <v>10.908609999999999</v>
      </c>
      <c r="J43" s="34">
        <v>9.8953740000000003</v>
      </c>
      <c r="K43" s="34">
        <v>9.9246250000000007</v>
      </c>
      <c r="L43" s="34">
        <v>9.8942829999999997</v>
      </c>
      <c r="M43" s="34">
        <v>8.8639690000000009</v>
      </c>
      <c r="N43" s="34">
        <v>9.225047</v>
      </c>
      <c r="O43" s="34">
        <v>7.9459099999999996</v>
      </c>
      <c r="P43" s="34">
        <f>SUM(D43:O43)</f>
        <v>114.10912800000001</v>
      </c>
      <c r="R43" s="57"/>
    </row>
    <row r="44" spans="2:19" s="3" customFormat="1" ht="18" customHeight="1" thickTop="1" thickBot="1">
      <c r="B44" s="260"/>
      <c r="C44" s="29" t="s">
        <v>59</v>
      </c>
      <c r="D44" s="34">
        <v>3.990612</v>
      </c>
      <c r="E44" s="34">
        <v>3.8377949999999998</v>
      </c>
      <c r="F44" s="34">
        <v>4.666239</v>
      </c>
      <c r="G44" s="34">
        <v>4.3494060000000001</v>
      </c>
      <c r="H44" s="34">
        <v>3.8603450000000001</v>
      </c>
      <c r="I44" s="34">
        <v>4.655386</v>
      </c>
      <c r="J44" s="34">
        <v>4.8128260000000003</v>
      </c>
      <c r="K44" s="34">
        <v>5.2545289999999998</v>
      </c>
      <c r="L44" s="34">
        <v>4.3051380000000004</v>
      </c>
      <c r="M44" s="34">
        <v>4.3007030000000004</v>
      </c>
      <c r="N44" s="34">
        <v>4.1956230000000003</v>
      </c>
      <c r="O44" s="34">
        <v>3.7805819999999999</v>
      </c>
      <c r="P44" s="34">
        <f>SUM(D44:O44)</f>
        <v>52.009183999999998</v>
      </c>
      <c r="R44" s="57"/>
    </row>
    <row r="45" spans="2:19" s="3" customFormat="1" ht="18" customHeight="1" thickTop="1" thickBot="1">
      <c r="B45" s="260"/>
      <c r="C45" s="29" t="s">
        <v>60</v>
      </c>
      <c r="D45" s="34">
        <v>1.0182249999999999</v>
      </c>
      <c r="E45" s="34">
        <v>0.99818899999999999</v>
      </c>
      <c r="F45" s="34">
        <v>1.154771</v>
      </c>
      <c r="G45" s="34">
        <v>1.116495</v>
      </c>
      <c r="H45" s="34">
        <v>0.75422900000000004</v>
      </c>
      <c r="I45" s="34">
        <v>0.77230799999999999</v>
      </c>
      <c r="J45" s="34">
        <v>1.1423719999999999</v>
      </c>
      <c r="K45" s="34">
        <v>1.343804</v>
      </c>
      <c r="L45" s="34">
        <v>0.94221200000000005</v>
      </c>
      <c r="M45" s="34">
        <v>0.25267600000000001</v>
      </c>
      <c r="N45" s="34">
        <v>0.28052500000000002</v>
      </c>
      <c r="O45" s="34">
        <v>0.38117899999999999</v>
      </c>
      <c r="P45" s="34">
        <f>SUM(D45:O45)</f>
        <v>10.156984999999999</v>
      </c>
      <c r="R45" s="57"/>
    </row>
    <row r="46" spans="2:19" s="3" customFormat="1" ht="18" customHeight="1" thickTop="1" thickBot="1">
      <c r="B46" s="260"/>
      <c r="C46" s="29" t="s">
        <v>139</v>
      </c>
      <c r="D46" s="34">
        <f t="shared" ref="D46:P46" si="8">+D43+D44+D45</f>
        <v>10.982298</v>
      </c>
      <c r="E46" s="34">
        <f t="shared" si="8"/>
        <v>13.344977999999999</v>
      </c>
      <c r="F46" s="34">
        <f t="shared" si="8"/>
        <v>17.055638000000002</v>
      </c>
      <c r="G46" s="34">
        <f t="shared" si="8"/>
        <v>16.147206999999998</v>
      </c>
      <c r="H46" s="52">
        <f t="shared" si="8"/>
        <v>15.667495000000001</v>
      </c>
      <c r="I46" s="52">
        <f t="shared" si="8"/>
        <v>16.336303999999998</v>
      </c>
      <c r="J46" s="52">
        <f t="shared" si="8"/>
        <v>15.850572000000001</v>
      </c>
      <c r="K46" s="52">
        <f t="shared" si="8"/>
        <v>16.522957999999999</v>
      </c>
      <c r="L46" s="52">
        <f t="shared" si="8"/>
        <v>15.141633000000001</v>
      </c>
      <c r="M46" s="52">
        <f t="shared" si="8"/>
        <v>13.417348</v>
      </c>
      <c r="N46" s="52">
        <f t="shared" si="8"/>
        <v>13.701195000000002</v>
      </c>
      <c r="O46" s="52">
        <f t="shared" si="8"/>
        <v>12.107671</v>
      </c>
      <c r="P46" s="34">
        <f t="shared" si="8"/>
        <v>176.27529699999999</v>
      </c>
      <c r="R46" s="46">
        <f>+D46+E46+F46+G46</f>
        <v>57.530120999999994</v>
      </c>
    </row>
    <row r="47" spans="2:19" s="3" customFormat="1" ht="18" customHeight="1" thickTop="1" thickBot="1">
      <c r="B47" s="260"/>
      <c r="C47" s="32" t="s">
        <v>67</v>
      </c>
      <c r="D47" s="35">
        <f>+(D46-'Expo 2014'!D46)/'Expo 2014'!D46</f>
        <v>-0.10905887791192827</v>
      </c>
      <c r="E47" s="35">
        <f>+(E46-'Expo 2014'!E46)/'Expo 2014'!E46</f>
        <v>0.18622248094863089</v>
      </c>
      <c r="F47" s="35">
        <f>+(F46-'Expo 2014'!F46)/'Expo 2014'!F46</f>
        <v>0.12341927712732118</v>
      </c>
      <c r="G47" s="35">
        <f>+(G46-'Expo 2014'!G46)/'Expo 2014'!G46</f>
        <v>0.14249771690886961</v>
      </c>
      <c r="H47" s="35">
        <f>+(H46-'Expo 2014'!H46)/'Expo 2014'!H46</f>
        <v>5.5138913703920323E-2</v>
      </c>
      <c r="I47" s="35">
        <f>+(I46-'Expo 2014'!I46)/'Expo 2014'!I46</f>
        <v>-9.5707779344527937E-3</v>
      </c>
      <c r="J47" s="35">
        <f>+(J46-'Expo 2014'!J46)/'Expo 2014'!J46</f>
        <v>0.11493793396161998</v>
      </c>
      <c r="K47" s="35">
        <f>+(K46-'Expo 2014'!K46)/'Expo 2014'!K46</f>
        <v>0.16758741399329116</v>
      </c>
      <c r="L47" s="35">
        <f>+(L46-'Expo 2014'!L46)/'Expo 2014'!L46</f>
        <v>0.13644901436814996</v>
      </c>
      <c r="M47" s="35">
        <f>+(M46-'Expo 2014'!M46)/'Expo 2014'!M46</f>
        <v>0.24317812463517297</v>
      </c>
      <c r="N47" s="35">
        <f>+(N46-'Expo 2014'!N46)/'Expo 2014'!N46</f>
        <v>0.19196153832100538</v>
      </c>
      <c r="O47" s="35">
        <f>+(O46-'Expo 2014'!O46)/'Expo 2014'!O46</f>
        <v>4.9461689880324504E-2</v>
      </c>
      <c r="P47" s="35">
        <f>+(P46-'Expo 2014'!P46)/'Expo 2014'!P46</f>
        <v>0.1034399173642421</v>
      </c>
      <c r="R47" s="14"/>
    </row>
    <row r="48" spans="2:19" ht="18" customHeight="1" thickTop="1" thickBot="1">
      <c r="B48" s="260" t="s">
        <v>86</v>
      </c>
      <c r="C48" s="31" t="s">
        <v>65</v>
      </c>
      <c r="D48" s="34">
        <v>4.9519483800000001</v>
      </c>
      <c r="E48" s="34">
        <v>2.2339391199999996</v>
      </c>
      <c r="F48" s="34">
        <v>5.2991622199999995</v>
      </c>
      <c r="G48" s="34">
        <v>6.7600936400000009</v>
      </c>
      <c r="H48" s="34">
        <v>2.5261616200000003</v>
      </c>
      <c r="I48" s="34">
        <v>4.9902870699999999</v>
      </c>
      <c r="J48" s="34">
        <v>5.1497119899999992</v>
      </c>
      <c r="K48" s="34">
        <v>1.1574959599999999</v>
      </c>
      <c r="L48" s="34">
        <v>6.5776604299999999</v>
      </c>
      <c r="M48" s="34">
        <v>1.5855005099999999</v>
      </c>
      <c r="N48" s="34">
        <v>5.3553065000000002</v>
      </c>
      <c r="O48" s="34">
        <v>1.2122029700000001</v>
      </c>
      <c r="P48" s="34">
        <f>SUM(D48:O48)</f>
        <v>47.799470410000005</v>
      </c>
      <c r="R48" s="57"/>
      <c r="S48" s="12">
        <f>+AVERAGE(D48:F48)</f>
        <v>4.1616832399999995</v>
      </c>
    </row>
    <row r="49" spans="2:19" ht="18" customHeight="1" thickTop="1" thickBot="1">
      <c r="B49" s="260"/>
      <c r="C49" s="29" t="s">
        <v>59</v>
      </c>
      <c r="D49" s="34">
        <v>1.4794326100000001</v>
      </c>
      <c r="E49" s="34">
        <v>1.48378853</v>
      </c>
      <c r="F49" s="34">
        <v>3.0334643199999998</v>
      </c>
      <c r="G49" s="34">
        <v>2.69818924</v>
      </c>
      <c r="H49" s="34">
        <v>4.8415132600000002</v>
      </c>
      <c r="I49" s="34">
        <v>3.44771458</v>
      </c>
      <c r="J49" s="34">
        <v>7.8409421699999999</v>
      </c>
      <c r="K49" s="34">
        <v>4.0160223999999998</v>
      </c>
      <c r="L49" s="34">
        <v>1.1468312200000002</v>
      </c>
      <c r="M49" s="34">
        <v>1.48995375</v>
      </c>
      <c r="N49" s="34">
        <v>2.2937035799999999</v>
      </c>
      <c r="O49" s="34">
        <v>3.8443816499999999</v>
      </c>
      <c r="P49" s="34">
        <f>SUM(D49:O49)</f>
        <v>37.615937310000007</v>
      </c>
      <c r="R49" s="57"/>
      <c r="S49" s="12">
        <f>+AVERAGE(D49:F49)</f>
        <v>1.9988951533333335</v>
      </c>
    </row>
    <row r="50" spans="2:19" ht="18" customHeight="1" thickTop="1" thickBot="1">
      <c r="B50" s="260"/>
      <c r="C50" s="29" t="s">
        <v>60</v>
      </c>
      <c r="D50" s="34">
        <v>0.24442068</v>
      </c>
      <c r="E50" s="34">
        <v>0.20668229000000002</v>
      </c>
      <c r="F50" s="34">
        <v>0.18594833999999999</v>
      </c>
      <c r="G50" s="34">
        <v>6.3442880000000007E-2</v>
      </c>
      <c r="H50" s="34">
        <v>8.4467840000000002E-2</v>
      </c>
      <c r="I50" s="34">
        <v>0.20384707000000002</v>
      </c>
      <c r="J50" s="34">
        <v>0.29707061000000001</v>
      </c>
      <c r="K50" s="34">
        <v>0.15154063000000001</v>
      </c>
      <c r="L50" s="34">
        <v>7.6678900000000008E-2</v>
      </c>
      <c r="M50" s="34">
        <v>0.24137486000000002</v>
      </c>
      <c r="N50" s="34">
        <v>6.7662440000000004E-2</v>
      </c>
      <c r="O50" s="34">
        <v>0.14442164000000002</v>
      </c>
      <c r="P50" s="34">
        <f>SUM(D50:O50)</f>
        <v>1.9675581800000002</v>
      </c>
      <c r="R50" s="57"/>
      <c r="S50" s="12">
        <f>+AVERAGE(D50:F50)</f>
        <v>0.21235043666666664</v>
      </c>
    </row>
    <row r="51" spans="2:19" ht="18" customHeight="1" thickTop="1" thickBot="1">
      <c r="B51" s="260"/>
      <c r="C51" s="29" t="s">
        <v>139</v>
      </c>
      <c r="D51" s="34">
        <f>+D48+D49+D50</f>
        <v>6.6758016700000002</v>
      </c>
      <c r="E51" s="34">
        <f t="shared" ref="E51:P51" si="9">+E48+E49+E50</f>
        <v>3.9244099399999994</v>
      </c>
      <c r="F51" s="34">
        <f t="shared" si="9"/>
        <v>8.5185748799999992</v>
      </c>
      <c r="G51" s="34">
        <f t="shared" si="9"/>
        <v>9.5217257600000007</v>
      </c>
      <c r="H51" s="34">
        <f t="shared" si="9"/>
        <v>7.4521427200000012</v>
      </c>
      <c r="I51" s="52">
        <f t="shared" si="9"/>
        <v>8.6418487200000005</v>
      </c>
      <c r="J51" s="52">
        <f t="shared" si="9"/>
        <v>13.287724769999999</v>
      </c>
      <c r="K51" s="52">
        <f t="shared" si="9"/>
        <v>5.3250589899999996</v>
      </c>
      <c r="L51" s="52">
        <f t="shared" si="9"/>
        <v>7.8011705500000001</v>
      </c>
      <c r="M51" s="52">
        <f t="shared" si="9"/>
        <v>3.31682912</v>
      </c>
      <c r="N51" s="52">
        <f t="shared" si="9"/>
        <v>7.7166725200000004</v>
      </c>
      <c r="O51" s="52">
        <f t="shared" si="9"/>
        <v>5.2010062599999998</v>
      </c>
      <c r="P51" s="34">
        <f t="shared" si="9"/>
        <v>87.382965900000016</v>
      </c>
      <c r="Q51" s="4" t="s">
        <v>17</v>
      </c>
      <c r="R51" s="46">
        <f>+D51+E51+F51+G51</f>
        <v>28.64051225</v>
      </c>
    </row>
    <row r="52" spans="2:19" ht="18" customHeight="1" thickTop="1" thickBot="1">
      <c r="B52" s="260"/>
      <c r="C52" s="32" t="s">
        <v>67</v>
      </c>
      <c r="D52" s="35">
        <f>+(D51-'Expo 2014'!D51)/'Expo 2014'!D51</f>
        <v>-0.12116316888782661</v>
      </c>
      <c r="E52" s="35">
        <f>+(E51-'Expo 2014'!E51)/'Expo 2014'!E51</f>
        <v>-0.36749247510714317</v>
      </c>
      <c r="F52" s="35">
        <f>+(F51-'Expo 2014'!F51)/'Expo 2014'!F51</f>
        <v>1.1285396996712729</v>
      </c>
      <c r="G52" s="35">
        <f>+(G51-'Expo 2014'!G51)/'Expo 2014'!G51</f>
        <v>0.13841335445005465</v>
      </c>
      <c r="H52" s="35">
        <f>+(H51-'Expo 2014'!H51)/'Expo 2014'!H51</f>
        <v>0.4919114711803011</v>
      </c>
      <c r="I52" s="35">
        <f>+(I51-'Expo 2014'!I51)/'Expo 2014'!I51</f>
        <v>2.0074019610601588</v>
      </c>
      <c r="J52" s="35">
        <f>+(J51-'Expo 2014'!J51)/'Expo 2014'!J51</f>
        <v>4.2428796634803287</v>
      </c>
      <c r="K52" s="35">
        <f>+(K51-'Expo 2014'!K51)/'Expo 2014'!K51</f>
        <v>1.0898291184301674</v>
      </c>
      <c r="L52" s="35">
        <f>+(L51-'Expo 2014'!L51)/'Expo 2014'!L51</f>
        <v>1.4645724352063272</v>
      </c>
      <c r="M52" s="35">
        <f>+(M51-'Expo 2014'!M51)/'Expo 2014'!M51</f>
        <v>-0.36538238323200067</v>
      </c>
      <c r="N52" s="35">
        <f>+(N51-'Expo 2014'!N51)/'Expo 2014'!N51</f>
        <v>1.5951341037053144</v>
      </c>
      <c r="O52" s="35">
        <f>+(O51-'Expo 2014'!O51)/'Expo 2014'!O51</f>
        <v>-0.13442127799167719</v>
      </c>
      <c r="P52" s="35">
        <f>+(P51-'Expo 2014'!P51)/'Expo 2014'!P51</f>
        <v>0.54682213059747209</v>
      </c>
      <c r="R52" s="14"/>
    </row>
    <row r="53" spans="2:19" ht="18" customHeight="1" thickTop="1" thickBot="1">
      <c r="B53" s="260" t="s">
        <v>43</v>
      </c>
      <c r="C53" s="31" t="s">
        <v>65</v>
      </c>
      <c r="D53" s="34">
        <v>87.20028100799999</v>
      </c>
      <c r="E53" s="34">
        <v>89.633421784999996</v>
      </c>
      <c r="F53" s="34">
        <v>113.94273303100002</v>
      </c>
      <c r="G53" s="34">
        <v>92.670460286000008</v>
      </c>
      <c r="H53" s="34">
        <v>124.427119221</v>
      </c>
      <c r="I53" s="34">
        <v>127.420947376</v>
      </c>
      <c r="J53" s="34">
        <v>145.50312256399999</v>
      </c>
      <c r="K53" s="34">
        <v>123.08024997599999</v>
      </c>
      <c r="L53" s="34">
        <v>91.440740020999996</v>
      </c>
      <c r="M53" s="34">
        <v>115.32439786200001</v>
      </c>
      <c r="N53" s="34">
        <v>109.50608476299999</v>
      </c>
      <c r="O53" s="34">
        <v>119.364436731</v>
      </c>
      <c r="P53" s="34">
        <f>SUM(D53:O53)</f>
        <v>1339.5139946240001</v>
      </c>
      <c r="R53" s="57"/>
      <c r="S53" s="14">
        <f>+P53/$P$56</f>
        <v>0.46035743975541249</v>
      </c>
    </row>
    <row r="54" spans="2:19" ht="18" customHeight="1" thickTop="1" thickBot="1">
      <c r="B54" s="260"/>
      <c r="C54" s="29" t="s">
        <v>59</v>
      </c>
      <c r="D54" s="34">
        <v>104.711834612</v>
      </c>
      <c r="E54" s="34">
        <v>76.07986402500002</v>
      </c>
      <c r="F54" s="34">
        <v>66.533167708999997</v>
      </c>
      <c r="G54" s="34">
        <v>77.905725880000006</v>
      </c>
      <c r="H54" s="34">
        <v>84.001372595000007</v>
      </c>
      <c r="I54" s="34">
        <v>108.56045856199999</v>
      </c>
      <c r="J54" s="34">
        <v>95.23443607599998</v>
      </c>
      <c r="K54" s="34">
        <v>88.677704671000001</v>
      </c>
      <c r="L54" s="34">
        <v>85.184071950000003</v>
      </c>
      <c r="M54" s="34">
        <v>68.846085313999993</v>
      </c>
      <c r="N54" s="34">
        <v>62.890193977999999</v>
      </c>
      <c r="O54" s="34">
        <v>76.896308148999992</v>
      </c>
      <c r="P54" s="34">
        <f>SUM(D54:O54)</f>
        <v>995.52122352099991</v>
      </c>
      <c r="R54" s="57"/>
      <c r="S54" s="14">
        <f>+P54/$P$56</f>
        <v>0.34213573245343082</v>
      </c>
    </row>
    <row r="55" spans="2:19" ht="18" customHeight="1" thickTop="1" thickBot="1">
      <c r="B55" s="260"/>
      <c r="C55" s="29" t="s">
        <v>60</v>
      </c>
      <c r="D55" s="34">
        <v>80.811603087999984</v>
      </c>
      <c r="E55" s="34">
        <v>47.043981452000004</v>
      </c>
      <c r="F55" s="34">
        <v>41.628476318999979</v>
      </c>
      <c r="G55" s="34">
        <v>37.74022047199999</v>
      </c>
      <c r="H55" s="34">
        <v>32.81205635300001</v>
      </c>
      <c r="I55" s="34">
        <v>40.153893514000004</v>
      </c>
      <c r="J55" s="34">
        <v>41.973914208999993</v>
      </c>
      <c r="K55" s="34">
        <v>64.747358833999996</v>
      </c>
      <c r="L55" s="34">
        <v>54.922386234999991</v>
      </c>
      <c r="M55" s="34">
        <v>49.017543117999999</v>
      </c>
      <c r="N55" s="34">
        <v>47.924737530000009</v>
      </c>
      <c r="O55" s="34">
        <v>35.914573530000013</v>
      </c>
      <c r="P55" s="34">
        <f>SUM(D55:O55)</f>
        <v>574.6907446539999</v>
      </c>
      <c r="R55" s="57"/>
      <c r="S55" s="14">
        <f>+P55/$P$56</f>
        <v>0.19750682779115677</v>
      </c>
    </row>
    <row r="56" spans="2:19" ht="18" customHeight="1" thickTop="1" thickBot="1">
      <c r="B56" s="260"/>
      <c r="C56" s="29" t="s">
        <v>139</v>
      </c>
      <c r="D56" s="34">
        <v>260.40948976199991</v>
      </c>
      <c r="E56" s="34">
        <v>201.25744638300009</v>
      </c>
      <c r="F56" s="34">
        <v>210.87396886900038</v>
      </c>
      <c r="G56" s="34">
        <v>195.52271210299995</v>
      </c>
      <c r="H56" s="34">
        <v>230.9932222060001</v>
      </c>
      <c r="I56" s="52">
        <v>273.89904098299985</v>
      </c>
      <c r="J56" s="52">
        <v>277.94356993000008</v>
      </c>
      <c r="K56" s="52">
        <v>276.19722440899994</v>
      </c>
      <c r="L56" s="52">
        <v>229.24306411000003</v>
      </c>
      <c r="M56" s="52">
        <v>232.45788571499997</v>
      </c>
      <c r="N56" s="52">
        <v>214.7567098699999</v>
      </c>
      <c r="O56" s="52">
        <v>227.69205667899999</v>
      </c>
      <c r="P56" s="34">
        <f>+P53+P54+P55</f>
        <v>2909.7259627989997</v>
      </c>
      <c r="Q56" s="4" t="s">
        <v>17</v>
      </c>
      <c r="R56" s="46">
        <f>+D56+E56+F56+G56</f>
        <v>868.06361711700038</v>
      </c>
      <c r="S56" s="14">
        <f>+P56/$P$56</f>
        <v>1</v>
      </c>
    </row>
    <row r="57" spans="2:19" ht="18" customHeight="1" thickTop="1" thickBot="1">
      <c r="B57" s="260"/>
      <c r="C57" s="32" t="s">
        <v>67</v>
      </c>
      <c r="D57" s="35">
        <f>+(D56-'Expo 2014'!D56)/'Expo 2014'!D56</f>
        <v>3.3785169094186787E-2</v>
      </c>
      <c r="E57" s="35">
        <f>+(E56-'Expo 2014'!E56)/'Expo 2014'!E56</f>
        <v>-0.33984558312422442</v>
      </c>
      <c r="F57" s="35">
        <f>+(F56-'Expo 2014'!F56)/'Expo 2014'!F56</f>
        <v>-0.3339245787140831</v>
      </c>
      <c r="G57" s="35">
        <f>+(G56-'Expo 2014'!G56)/'Expo 2014'!G56</f>
        <v>-0.36107983759244255</v>
      </c>
      <c r="H57" s="35">
        <f>+(H56-'Expo 2014'!H56)/'Expo 2014'!H56</f>
        <v>-0.34520401636290282</v>
      </c>
      <c r="I57" s="35">
        <f>+(I56-'Expo 2014'!I56)/'Expo 2014'!I56</f>
        <v>-6.9163047366332803E-2</v>
      </c>
      <c r="J57" s="35">
        <f>+(J56-'Expo 2014'!J56)/'Expo 2014'!J56</f>
        <v>3.2460624251923809E-2</v>
      </c>
      <c r="K57" s="35">
        <f>+(K56-'Expo 2014'!K56)/'Expo 2014'!K56</f>
        <v>-5.8559022988540689E-2</v>
      </c>
      <c r="L57" s="35">
        <f>+(L56-'Expo 2014'!L56)/'Expo 2014'!L56</f>
        <v>-0.16809220253453755</v>
      </c>
      <c r="M57" s="35">
        <f>+(M56-'Expo 2014'!M56)/'Expo 2014'!M56</f>
        <v>-0.27980897478376981</v>
      </c>
      <c r="N57" s="35">
        <f>+(N56-'Expo 2014'!N56)/'Expo 2014'!N56</f>
        <v>-0.24468337231663145</v>
      </c>
      <c r="O57" s="35">
        <f>+(O56-'Expo 2014'!O56)/'Expo 2014'!O56</f>
        <v>-0.25919053292302702</v>
      </c>
      <c r="P57" s="35">
        <f>+(P56-'Expo 2014'!P56)/'Expo 2014'!P56</f>
        <v>-0.18699968022725372</v>
      </c>
      <c r="R57" s="14"/>
    </row>
    <row r="58" spans="2:19" s="3" customFormat="1" ht="18" customHeight="1" thickTop="1" thickBot="1">
      <c r="B58" s="260" t="s">
        <v>71</v>
      </c>
      <c r="C58" s="31" t="s">
        <v>65</v>
      </c>
      <c r="D58" s="34">
        <v>0.13762131</v>
      </c>
      <c r="E58" s="34">
        <v>4.9723839999999998E-2</v>
      </c>
      <c r="F58" s="34">
        <v>9.799026000000001E-2</v>
      </c>
      <c r="G58" s="34">
        <v>5.6509940000000002E-2</v>
      </c>
      <c r="H58" s="34">
        <v>0.15077842999999999</v>
      </c>
      <c r="I58" s="34">
        <v>0.1138581</v>
      </c>
      <c r="J58" s="34">
        <v>7.5856000000000007E-2</v>
      </c>
      <c r="K58" s="34">
        <v>0.14891752000000003</v>
      </c>
      <c r="L58" s="34">
        <v>0.14987254</v>
      </c>
      <c r="M58" s="34">
        <v>0.13404091000000001</v>
      </c>
      <c r="N58" s="34">
        <v>0.25833533000000003</v>
      </c>
      <c r="O58" s="34">
        <v>0.10346936</v>
      </c>
      <c r="P58" s="34">
        <f>SUM(D58:O58)</f>
        <v>1.4769735399999999</v>
      </c>
      <c r="R58" s="57"/>
    </row>
    <row r="59" spans="2:19" s="3" customFormat="1" ht="18" customHeight="1" thickTop="1" thickBot="1">
      <c r="B59" s="260"/>
      <c r="C59" s="29" t="s">
        <v>59</v>
      </c>
      <c r="D59" s="34">
        <v>0.18408384999999999</v>
      </c>
      <c r="E59" s="34">
        <v>0.42020357999999997</v>
      </c>
      <c r="F59" s="34">
        <v>0.62223726000000001</v>
      </c>
      <c r="G59" s="34">
        <v>7.52636E-2</v>
      </c>
      <c r="H59" s="34">
        <v>0.26181189999999993</v>
      </c>
      <c r="I59" s="34">
        <v>0.20306477999999997</v>
      </c>
      <c r="J59" s="34">
        <v>8.771198999999999E-2</v>
      </c>
      <c r="K59" s="34">
        <v>7.2909059999999998E-2</v>
      </c>
      <c r="L59" s="34">
        <v>0.23083645</v>
      </c>
      <c r="M59" s="34">
        <v>0.100753</v>
      </c>
      <c r="N59" s="34">
        <v>0.27935591000000004</v>
      </c>
      <c r="O59" s="34">
        <v>0.33569148000000004</v>
      </c>
      <c r="P59" s="34">
        <f>SUM(D59:O59)</f>
        <v>2.87392286</v>
      </c>
      <c r="R59" s="57"/>
    </row>
    <row r="60" spans="2:19" s="3" customFormat="1" ht="18" customHeight="1" thickTop="1" thickBot="1">
      <c r="B60" s="260"/>
      <c r="C60" s="29" t="s">
        <v>60</v>
      </c>
      <c r="D60" s="34">
        <v>1.6822280000000002E-2</v>
      </c>
      <c r="E60" s="34">
        <v>3.51937E-3</v>
      </c>
      <c r="F60" s="34">
        <v>4.5000000000000003E-7</v>
      </c>
      <c r="G60" s="34">
        <v>4.5499E-3</v>
      </c>
      <c r="H60" s="34">
        <v>2.6131799999999997E-3</v>
      </c>
      <c r="I60" s="34">
        <v>7.4527999999999999E-3</v>
      </c>
      <c r="J60" s="34">
        <v>2.9369999999999999E-3</v>
      </c>
      <c r="K60" s="34">
        <v>1.4851599999999999E-3</v>
      </c>
      <c r="L60" s="34">
        <v>6.6759999999999996E-3</v>
      </c>
      <c r="M60" s="34">
        <v>2.4485860000000002E-2</v>
      </c>
      <c r="N60" s="34">
        <v>1.144091E-2</v>
      </c>
      <c r="O60" s="34">
        <v>3.509E-3</v>
      </c>
      <c r="P60" s="34">
        <f>SUM(D60:O60)</f>
        <v>8.5491910000000004E-2</v>
      </c>
      <c r="R60" s="57"/>
    </row>
    <row r="61" spans="2:19" s="3" customFormat="1" ht="18" customHeight="1" thickTop="1" thickBot="1">
      <c r="B61" s="260"/>
      <c r="C61" s="29" t="s">
        <v>139</v>
      </c>
      <c r="D61" s="34">
        <f t="shared" ref="D61:P61" si="10">+D58+D59+D60</f>
        <v>0.33852744000000001</v>
      </c>
      <c r="E61" s="34">
        <f t="shared" si="10"/>
        <v>0.47344679000000001</v>
      </c>
      <c r="F61" s="34">
        <f t="shared" si="10"/>
        <v>0.72022797000000005</v>
      </c>
      <c r="G61" s="34">
        <f t="shared" si="10"/>
        <v>0.13632343999999999</v>
      </c>
      <c r="H61" s="34">
        <f t="shared" si="10"/>
        <v>0.41520350999999989</v>
      </c>
      <c r="I61" s="52">
        <f t="shared" si="10"/>
        <v>0.32437567999999994</v>
      </c>
      <c r="J61" s="52">
        <f t="shared" si="10"/>
        <v>0.16650498999999999</v>
      </c>
      <c r="K61" s="52">
        <f t="shared" si="10"/>
        <v>0.22331174000000004</v>
      </c>
      <c r="L61" s="52">
        <f t="shared" si="10"/>
        <v>0.38738499000000004</v>
      </c>
      <c r="M61" s="52">
        <f t="shared" si="10"/>
        <v>0.25927977000000002</v>
      </c>
      <c r="N61" s="52">
        <f t="shared" si="10"/>
        <v>0.54913215000000004</v>
      </c>
      <c r="O61" s="52">
        <f t="shared" si="10"/>
        <v>0.44266984000000004</v>
      </c>
      <c r="P61" s="34">
        <f t="shared" si="10"/>
        <v>4.4363883099999999</v>
      </c>
      <c r="R61" s="46">
        <f>+D61+E61+F61+G61</f>
        <v>1.6685256399999999</v>
      </c>
    </row>
    <row r="62" spans="2:19" s="3" customFormat="1" ht="18" customHeight="1" thickTop="1" thickBot="1">
      <c r="B62" s="260"/>
      <c r="C62" s="32" t="s">
        <v>67</v>
      </c>
      <c r="D62" s="35" t="e">
        <f>+(D61-'Expo 2014'!D61)/'Expo 2014'!D61</f>
        <v>#DIV/0!</v>
      </c>
      <c r="E62" s="35">
        <f>+(E61-'Expo 2014'!E61)/'Expo 2014'!E61</f>
        <v>20.389057601084257</v>
      </c>
      <c r="F62" s="35">
        <f>+(F61-'Expo 2014'!F61)/'Expo 2014'!F61</f>
        <v>19.696259559291963</v>
      </c>
      <c r="G62" s="35">
        <f>+(G61-'Expo 2014'!G61)/'Expo 2014'!G61</f>
        <v>0.27351394192597861</v>
      </c>
      <c r="H62" s="35">
        <f>+(H61-'Expo 2014'!H61)/'Expo 2014'!H61</f>
        <v>3.6698815320006202</v>
      </c>
      <c r="I62" s="35">
        <f>+(I61-'Expo 2014'!I61)/'Expo 2014'!I61</f>
        <v>-6.8671049849214919E-2</v>
      </c>
      <c r="J62" s="35">
        <f>+(J61-'Expo 2014'!J61)/'Expo 2014'!J61</f>
        <v>4.3629977131445878</v>
      </c>
      <c r="K62" s="35">
        <f>+(K61-'Expo 2014'!K61)/'Expo 2014'!K61</f>
        <v>-0.12507416203221297</v>
      </c>
      <c r="L62" s="35">
        <f>+(L61-'Expo 2014'!L61)/'Expo 2014'!L61</f>
        <v>2.4604917393861117</v>
      </c>
      <c r="M62" s="35">
        <f>+(M61-'Expo 2014'!M61)/'Expo 2014'!M61</f>
        <v>-0.52180886763896361</v>
      </c>
      <c r="N62" s="35">
        <f>+(N61-'Expo 2014'!N61)/'Expo 2014'!N61</f>
        <v>-0.28263447131596808</v>
      </c>
      <c r="O62" s="35">
        <f>+(O61-'Expo 2014'!O61)/'Expo 2014'!O61</f>
        <v>-0.21455904679190713</v>
      </c>
      <c r="P62" s="35">
        <f>+(P61-'Expo 2014'!P61)/'Expo 2014'!P61</f>
        <v>0.54540329978611934</v>
      </c>
      <c r="R62" s="14"/>
    </row>
    <row r="63" spans="2:19" s="3" customFormat="1" ht="18" customHeight="1" thickTop="1" thickBot="1">
      <c r="B63" s="261" t="s">
        <v>6</v>
      </c>
      <c r="C63" s="31" t="s">
        <v>65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f>SUM(D63:O63)</f>
        <v>0</v>
      </c>
      <c r="R63" s="57"/>
    </row>
    <row r="64" spans="2:19" s="3" customFormat="1" ht="18" customHeight="1" thickTop="1" thickBot="1">
      <c r="B64" s="261"/>
      <c r="C64" s="29" t="s">
        <v>59</v>
      </c>
      <c r="D64" s="34">
        <v>2.4190000000000001E-3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f>SUM(D64:O64)</f>
        <v>2.4190000000000001E-3</v>
      </c>
      <c r="R64" s="57"/>
    </row>
    <row r="65" spans="2:19" s="3" customFormat="1" ht="18" customHeight="1" thickTop="1" thickBot="1">
      <c r="B65" s="261"/>
      <c r="C65" s="29" t="s">
        <v>60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f>SUM(D65:O65)</f>
        <v>0</v>
      </c>
      <c r="R65" s="57"/>
    </row>
    <row r="66" spans="2:19" s="3" customFormat="1" ht="18" customHeight="1" thickTop="1" thickBot="1">
      <c r="B66" s="261"/>
      <c r="C66" s="29" t="s">
        <v>139</v>
      </c>
      <c r="D66" s="34">
        <f t="shared" ref="D66:P66" si="11">+D63+D64+D65</f>
        <v>2.4190000000000001E-3</v>
      </c>
      <c r="E66" s="34">
        <f t="shared" si="11"/>
        <v>0</v>
      </c>
      <c r="F66" s="34">
        <f t="shared" si="11"/>
        <v>0</v>
      </c>
      <c r="G66" s="34">
        <f t="shared" si="11"/>
        <v>0</v>
      </c>
      <c r="H66" s="34">
        <f t="shared" si="11"/>
        <v>0</v>
      </c>
      <c r="I66" s="34">
        <f t="shared" si="11"/>
        <v>0</v>
      </c>
      <c r="J66" s="34">
        <f t="shared" si="11"/>
        <v>0</v>
      </c>
      <c r="K66" s="34">
        <f t="shared" si="11"/>
        <v>0</v>
      </c>
      <c r="L66" s="34">
        <f t="shared" si="11"/>
        <v>0</v>
      </c>
      <c r="M66" s="34">
        <f t="shared" si="11"/>
        <v>0</v>
      </c>
      <c r="N66" s="34">
        <f t="shared" si="11"/>
        <v>0</v>
      </c>
      <c r="O66" s="34">
        <f t="shared" si="11"/>
        <v>0</v>
      </c>
      <c r="P66" s="34">
        <f t="shared" si="11"/>
        <v>2.4190000000000001E-3</v>
      </c>
      <c r="R66" s="46">
        <f>+D66+E66+F66+G66</f>
        <v>2.4190000000000001E-3</v>
      </c>
    </row>
    <row r="67" spans="2:19" s="3" customFormat="1" ht="18" customHeight="1" thickTop="1" thickBot="1">
      <c r="B67" s="261"/>
      <c r="C67" s="32" t="s">
        <v>67</v>
      </c>
      <c r="D67" s="35" t="e">
        <f>+(D66-'Expo 2014'!D66)/'Expo 2014'!D66</f>
        <v>#DIV/0!</v>
      </c>
      <c r="E67" s="35" t="e">
        <f>+(E66-'Expo 2014'!E66)/'Expo 2014'!E66</f>
        <v>#DIV/0!</v>
      </c>
      <c r="F67" s="35" t="e">
        <f>+(F66-'Expo 2014'!F66)/'Expo 2014'!F66</f>
        <v>#DIV/0!</v>
      </c>
      <c r="G67" s="35" t="e">
        <f>+(G66-'Expo 2014'!G66)/'Expo 2014'!G66</f>
        <v>#DIV/0!</v>
      </c>
      <c r="H67" s="35" t="e">
        <f>+(H66-'Expo 2014'!H66)/'Expo 2014'!H66</f>
        <v>#DIV/0!</v>
      </c>
      <c r="I67" s="35" t="e">
        <f>+(I66-'Expo 2014'!I66)/'Expo 2014'!I66</f>
        <v>#DIV/0!</v>
      </c>
      <c r="J67" s="35" t="e">
        <f>+(J66-'Expo 2014'!J66)/'Expo 2014'!J66</f>
        <v>#DIV/0!</v>
      </c>
      <c r="K67" s="35" t="e">
        <f>+(K66-'Expo 2014'!K66)/'Expo 2014'!K66</f>
        <v>#DIV/0!</v>
      </c>
      <c r="L67" s="35" t="e">
        <f>+(L66-'Expo 2014'!L66)/'Expo 2014'!L66</f>
        <v>#DIV/0!</v>
      </c>
      <c r="M67" s="35" t="e">
        <f>+(M66-'Expo 2014'!M66)/'Expo 2014'!M66</f>
        <v>#DIV/0!</v>
      </c>
      <c r="N67" s="35" t="e">
        <f>+(N66-'Expo 2014'!N66)/'Expo 2014'!N66</f>
        <v>#DIV/0!</v>
      </c>
      <c r="O67" s="35" t="e">
        <f>+(O66-'Expo 2014'!O66)/'Expo 2014'!O66</f>
        <v>#DIV/0!</v>
      </c>
      <c r="P67" s="35" t="e">
        <f>+(P66-'Expo 2014'!P66)/'Expo 2014'!P66</f>
        <v>#DIV/0!</v>
      </c>
      <c r="R67" s="14"/>
    </row>
    <row r="68" spans="2:19" s="3" customFormat="1" ht="18" customHeight="1" thickTop="1" thickBot="1">
      <c r="B68" s="261" t="s">
        <v>44</v>
      </c>
      <c r="C68" s="31" t="s">
        <v>65</v>
      </c>
      <c r="D68" s="34">
        <v>8.4046512899999986</v>
      </c>
      <c r="E68" s="34">
        <v>10.343186019999999</v>
      </c>
      <c r="F68" s="34">
        <v>12.53361278</v>
      </c>
      <c r="G68" s="34">
        <v>8.2663908199999998</v>
      </c>
      <c r="H68" s="34">
        <v>8.4116159400000008</v>
      </c>
      <c r="I68" s="34">
        <v>16.255606340000003</v>
      </c>
      <c r="J68" s="34">
        <v>24.764589349999998</v>
      </c>
      <c r="K68" s="34">
        <v>12.811840449999998</v>
      </c>
      <c r="L68" s="34">
        <v>12.851850969999999</v>
      </c>
      <c r="M68" s="34">
        <v>12.23429464</v>
      </c>
      <c r="N68" s="34">
        <v>17.276242020000002</v>
      </c>
      <c r="O68" s="34">
        <v>11.572549410000001</v>
      </c>
      <c r="P68" s="34">
        <f>SUM(D68:O68)</f>
        <v>155.72643002999999</v>
      </c>
      <c r="R68" s="57"/>
    </row>
    <row r="69" spans="2:19" s="3" customFormat="1" ht="18" customHeight="1" thickTop="1" thickBot="1">
      <c r="B69" s="261"/>
      <c r="C69" s="29" t="s">
        <v>59</v>
      </c>
      <c r="D69" s="34">
        <v>0.11684392</v>
      </c>
      <c r="E69" s="34">
        <v>0.33633817999999999</v>
      </c>
      <c r="F69" s="34">
        <v>0.17403942999999999</v>
      </c>
      <c r="G69" s="34">
        <v>0.26629073999999997</v>
      </c>
      <c r="H69" s="34">
        <v>0.63149481000000007</v>
      </c>
      <c r="I69" s="34">
        <v>1.0467392799999999</v>
      </c>
      <c r="J69" s="34">
        <v>0.46059523000000002</v>
      </c>
      <c r="K69" s="34">
        <v>0.40949680000000005</v>
      </c>
      <c r="L69" s="34">
        <v>0.51008579000000009</v>
      </c>
      <c r="M69" s="34">
        <v>0.26691277000000002</v>
      </c>
      <c r="N69" s="34">
        <v>0.28338115999999997</v>
      </c>
      <c r="O69" s="34">
        <v>0.41537750999999995</v>
      </c>
      <c r="P69" s="34">
        <f>SUM(D69:O69)</f>
        <v>4.9175956200000002</v>
      </c>
      <c r="R69" s="57"/>
    </row>
    <row r="70" spans="2:19" s="3" customFormat="1" ht="18" customHeight="1" thickTop="1" thickBot="1">
      <c r="B70" s="261"/>
      <c r="C70" s="29" t="s">
        <v>60</v>
      </c>
      <c r="D70" s="34">
        <v>5.6605839999999998E-2</v>
      </c>
      <c r="E70" s="34">
        <v>9.9715399999999992E-3</v>
      </c>
      <c r="F70" s="34">
        <v>0.11420278</v>
      </c>
      <c r="G70" s="34">
        <v>0.20392302999999992</v>
      </c>
      <c r="H70" s="34">
        <v>0.15260293</v>
      </c>
      <c r="I70" s="34">
        <v>0.19305742000000009</v>
      </c>
      <c r="J70" s="34">
        <v>4.3998020000000006E-2</v>
      </c>
      <c r="K70" s="34">
        <v>6.6690810000000003E-2</v>
      </c>
      <c r="L70" s="34">
        <v>0.18339504000000001</v>
      </c>
      <c r="M70" s="34">
        <v>0.26260193000000004</v>
      </c>
      <c r="N70" s="34">
        <v>2.1799799999999994E-2</v>
      </c>
      <c r="O70" s="34">
        <v>2.6490419999999997E-2</v>
      </c>
      <c r="P70" s="34">
        <f>SUM(D70:O70)</f>
        <v>1.3353395599999998</v>
      </c>
      <c r="R70" s="57"/>
    </row>
    <row r="71" spans="2:19" s="3" customFormat="1" ht="18" customHeight="1" thickTop="1" thickBot="1">
      <c r="B71" s="261"/>
      <c r="C71" s="29" t="s">
        <v>139</v>
      </c>
      <c r="D71" s="34">
        <f t="shared" ref="D71:P71" si="12">+D68+D69+D70</f>
        <v>8.578101049999999</v>
      </c>
      <c r="E71" s="34">
        <f t="shared" si="12"/>
        <v>10.68949574</v>
      </c>
      <c r="F71" s="34">
        <f t="shared" si="12"/>
        <v>12.82185499</v>
      </c>
      <c r="G71" s="34">
        <f t="shared" si="12"/>
        <v>8.7366045900000007</v>
      </c>
      <c r="H71" s="34">
        <f t="shared" si="12"/>
        <v>9.1957136800000008</v>
      </c>
      <c r="I71" s="52">
        <f t="shared" si="12"/>
        <v>17.495403040000003</v>
      </c>
      <c r="J71" s="52">
        <f t="shared" si="12"/>
        <v>25.269182599999997</v>
      </c>
      <c r="K71" s="52">
        <f t="shared" si="12"/>
        <v>13.288028059999998</v>
      </c>
      <c r="L71" s="52">
        <f t="shared" si="12"/>
        <v>13.5453318</v>
      </c>
      <c r="M71" s="52">
        <f t="shared" si="12"/>
        <v>12.76380934</v>
      </c>
      <c r="N71" s="52">
        <f t="shared" si="12"/>
        <v>17.581422980000003</v>
      </c>
      <c r="O71" s="52">
        <f t="shared" si="12"/>
        <v>12.014417340000001</v>
      </c>
      <c r="P71" s="34">
        <f t="shared" si="12"/>
        <v>161.97936521</v>
      </c>
      <c r="R71" s="46">
        <f>+D71+E71+F71+G71</f>
        <v>40.826056369999996</v>
      </c>
    </row>
    <row r="72" spans="2:19" s="3" customFormat="1" ht="18" customHeight="1" thickTop="1" thickBot="1">
      <c r="B72" s="261"/>
      <c r="C72" s="32" t="s">
        <v>67</v>
      </c>
      <c r="D72" s="35">
        <f>+(D71-'Expo 2014'!D71)/'Expo 2014'!D71</f>
        <v>-0.22083947918323379</v>
      </c>
      <c r="E72" s="35">
        <f>+(E71-'Expo 2014'!E71)/'Expo 2014'!E71</f>
        <v>-0.30247152066985278</v>
      </c>
      <c r="F72" s="35">
        <f>+(F71-'Expo 2014'!F71)/'Expo 2014'!F71</f>
        <v>5.8599586497177225E-2</v>
      </c>
      <c r="G72" s="35">
        <f>+(G71-'Expo 2014'!G71)/'Expo 2014'!G71</f>
        <v>5.5839295818233374E-2</v>
      </c>
      <c r="H72" s="35">
        <f>+(H71-'Expo 2014'!H71)/'Expo 2014'!H71</f>
        <v>7.1859544715262361E-3</v>
      </c>
      <c r="I72" s="35">
        <f>+(I71-'Expo 2014'!I71)/'Expo 2014'!I71</f>
        <v>-6.9000733086896679E-2</v>
      </c>
      <c r="J72" s="35">
        <f>+(J71-'Expo 2014'!J71)/'Expo 2014'!J71</f>
        <v>1.7193015837992673</v>
      </c>
      <c r="K72" s="35">
        <f>+(K71-'Expo 2014'!K71)/'Expo 2014'!K71</f>
        <v>-0.43698274228045136</v>
      </c>
      <c r="L72" s="35">
        <f>+(L71-'Expo 2014'!L71)/'Expo 2014'!L71</f>
        <v>-0.38776309979217705</v>
      </c>
      <c r="M72" s="35">
        <f>+(M71-'Expo 2014'!M71)/'Expo 2014'!M71</f>
        <v>0.25521973058268915</v>
      </c>
      <c r="N72" s="35">
        <f>+(N71-'Expo 2014'!N71)/'Expo 2014'!N71</f>
        <v>0.73556896391351467</v>
      </c>
      <c r="O72" s="35">
        <f>+(O71-'Expo 2014'!O71)/'Expo 2014'!O71</f>
        <v>-1.1533027722094755E-2</v>
      </c>
      <c r="P72" s="35">
        <f>+(P71-'Expo 2014'!P71)/'Expo 2014'!P71</f>
        <v>-8.3429509814220127E-4</v>
      </c>
      <c r="R72" s="14"/>
    </row>
    <row r="73" spans="2:19" s="3" customFormat="1" ht="18" customHeight="1" thickTop="1" thickBot="1">
      <c r="B73" s="261" t="s">
        <v>7</v>
      </c>
      <c r="C73" s="31" t="s">
        <v>65</v>
      </c>
      <c r="D73" s="34">
        <v>0</v>
      </c>
      <c r="E73" s="34">
        <v>0</v>
      </c>
      <c r="F73" s="34">
        <v>9.5507300000000003E-3</v>
      </c>
      <c r="G73" s="34">
        <v>0</v>
      </c>
      <c r="H73" s="34">
        <v>0</v>
      </c>
      <c r="I73" s="34">
        <v>0</v>
      </c>
      <c r="J73" s="34">
        <v>3.25253E-3</v>
      </c>
      <c r="K73" s="34">
        <v>2.7472999999999994E-4</v>
      </c>
      <c r="L73" s="34">
        <v>2.7746999999999998E-4</v>
      </c>
      <c r="M73" s="34">
        <v>0</v>
      </c>
      <c r="N73" s="34">
        <v>0</v>
      </c>
      <c r="O73" s="34">
        <v>0</v>
      </c>
      <c r="P73" s="34">
        <f>SUM(D73:O73)</f>
        <v>1.3355460000000001E-2</v>
      </c>
      <c r="R73" s="57"/>
    </row>
    <row r="74" spans="2:19" s="3" customFormat="1" ht="18" customHeight="1" thickTop="1" thickBot="1">
      <c r="B74" s="261"/>
      <c r="C74" s="29" t="s">
        <v>59</v>
      </c>
      <c r="D74" s="34">
        <v>0</v>
      </c>
      <c r="E74" s="34">
        <v>7.9629999999999995E-5</v>
      </c>
      <c r="F74" s="34">
        <v>4.2107000000000001E-4</v>
      </c>
      <c r="G74" s="34">
        <v>0</v>
      </c>
      <c r="H74" s="34">
        <v>2.4195999999999999E-2</v>
      </c>
      <c r="I74" s="34">
        <v>6.522E-2</v>
      </c>
      <c r="J74" s="34">
        <v>4.5680000000000003E-5</v>
      </c>
      <c r="K74" s="34">
        <v>1.33E-6</v>
      </c>
      <c r="L74" s="34">
        <v>0</v>
      </c>
      <c r="M74" s="34">
        <v>1.3216999999999998E-4</v>
      </c>
      <c r="N74" s="34">
        <v>1.33E-6</v>
      </c>
      <c r="O74" s="34">
        <v>2.1599999999999999E-4</v>
      </c>
      <c r="P74" s="34">
        <f>SUM(D74:O74)</f>
        <v>9.0313209999999991E-2</v>
      </c>
      <c r="R74" s="57"/>
    </row>
    <row r="75" spans="2:19" s="3" customFormat="1" ht="18" customHeight="1" thickTop="1" thickBot="1">
      <c r="B75" s="261"/>
      <c r="C75" s="29" t="s">
        <v>60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f>SUM(D75:O75)</f>
        <v>0</v>
      </c>
      <c r="R75" s="57"/>
    </row>
    <row r="76" spans="2:19" s="3" customFormat="1" ht="18" customHeight="1" thickTop="1" thickBot="1">
      <c r="B76" s="261"/>
      <c r="C76" s="29" t="s">
        <v>139</v>
      </c>
      <c r="D76" s="34">
        <f t="shared" ref="D76:P76" si="13">+D73+D74+D75</f>
        <v>0</v>
      </c>
      <c r="E76" s="34">
        <f t="shared" si="13"/>
        <v>7.9629999999999995E-5</v>
      </c>
      <c r="F76" s="52">
        <f t="shared" si="13"/>
        <v>9.9718000000000011E-3</v>
      </c>
      <c r="G76" s="52">
        <f t="shared" si="13"/>
        <v>0</v>
      </c>
      <c r="H76" s="52">
        <f t="shared" si="13"/>
        <v>2.4195999999999999E-2</v>
      </c>
      <c r="I76" s="52">
        <f t="shared" si="13"/>
        <v>6.522E-2</v>
      </c>
      <c r="J76" s="52">
        <f t="shared" si="13"/>
        <v>3.2982100000000002E-3</v>
      </c>
      <c r="K76" s="52">
        <f t="shared" si="13"/>
        <v>2.7605999999999996E-4</v>
      </c>
      <c r="L76" s="52">
        <f t="shared" si="13"/>
        <v>2.7746999999999998E-4</v>
      </c>
      <c r="M76" s="52">
        <f t="shared" si="13"/>
        <v>1.3216999999999998E-4</v>
      </c>
      <c r="N76" s="52">
        <f t="shared" si="13"/>
        <v>1.33E-6</v>
      </c>
      <c r="O76" s="52">
        <f t="shared" si="13"/>
        <v>2.1599999999999999E-4</v>
      </c>
      <c r="P76" s="34">
        <f t="shared" si="13"/>
        <v>0.10366866999999999</v>
      </c>
      <c r="R76" s="46">
        <f>+D76+E76+F76+G76</f>
        <v>1.0051430000000002E-2</v>
      </c>
    </row>
    <row r="77" spans="2:19" s="3" customFormat="1" ht="18" customHeight="1" thickTop="1" thickBot="1">
      <c r="B77" s="261"/>
      <c r="C77" s="32" t="s">
        <v>67</v>
      </c>
      <c r="D77" s="35">
        <f>+(D76-'Expo 2014'!D76)/'Expo 2014'!D76</f>
        <v>-1</v>
      </c>
      <c r="E77" s="35">
        <f>+(E76-'Expo 2014'!E76)/'Expo 2014'!E76</f>
        <v>-0.7345666666666667</v>
      </c>
      <c r="F77" s="35">
        <f>+(F76-'Expo 2014'!F76)/'Expo 2014'!F76</f>
        <v>12.0520942408377</v>
      </c>
      <c r="G77" s="35">
        <f>+(G76-'Expo 2014'!G76)/'Expo 2014'!G76</f>
        <v>-1</v>
      </c>
      <c r="H77" s="35">
        <f>+(H76-'Expo 2014'!H76)/'Expo 2014'!H76</f>
        <v>6.0210666821426493</v>
      </c>
      <c r="I77" s="35">
        <f>+(I76-'Expo 2014'!I76)/'Expo 2014'!I76</f>
        <v>220.82918948335092</v>
      </c>
      <c r="J77" s="35">
        <f>+(J76-'Expo 2014'!J76)/'Expo 2014'!J76</f>
        <v>-0.27074314015963902</v>
      </c>
      <c r="K77" s="35" t="e">
        <f>+(K76-'Expo 2014'!K76)/'Expo 2014'!K76</f>
        <v>#DIV/0!</v>
      </c>
      <c r="L77" s="35">
        <f>+(L76-'Expo 2014'!L76)/'Expo 2014'!L76</f>
        <v>-0.5077264259735651</v>
      </c>
      <c r="M77" s="35">
        <f>+(M76-'Expo 2014'!M76)/'Expo 2014'!M76</f>
        <v>-0.35343899814108226</v>
      </c>
      <c r="N77" s="35">
        <f>+(N76-'Expo 2014'!N76)/'Expo 2014'!N76</f>
        <v>-0.9015544041450777</v>
      </c>
      <c r="O77" s="35">
        <f>+(O76-'Expo 2014'!O76)/'Expo 2014'!O76</f>
        <v>-0.93297961463278412</v>
      </c>
      <c r="P77" s="35">
        <f>+(P76-'Expo 2014'!P76)/'Expo 2014'!P76</f>
        <v>2.9904151054950416</v>
      </c>
      <c r="R77" s="14"/>
    </row>
    <row r="78" spans="2:19" s="3" customFormat="1" ht="18" customHeight="1" thickTop="1" thickBot="1">
      <c r="B78" s="261" t="s">
        <v>3</v>
      </c>
      <c r="C78" s="31" t="s">
        <v>65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f>SUM(D78:O78)</f>
        <v>0</v>
      </c>
      <c r="Q78" s="2"/>
      <c r="R78" s="57"/>
      <c r="S78" s="7">
        <f>+AVERAGE(D78:O78)</f>
        <v>0</v>
      </c>
    </row>
    <row r="79" spans="2:19" s="3" customFormat="1" ht="18" customHeight="1" thickTop="1" thickBot="1">
      <c r="B79" s="261"/>
      <c r="C79" s="29" t="s">
        <v>59</v>
      </c>
      <c r="D79" s="34">
        <v>16.352544000000002</v>
      </c>
      <c r="E79" s="34">
        <v>5.3413019999999998</v>
      </c>
      <c r="F79" s="34">
        <v>5.0277580000000004</v>
      </c>
      <c r="G79" s="34">
        <v>0</v>
      </c>
      <c r="H79" s="34">
        <v>5.9623442999999998</v>
      </c>
      <c r="I79" s="34">
        <v>0</v>
      </c>
      <c r="J79" s="34">
        <v>14.534929999999999</v>
      </c>
      <c r="K79" s="34">
        <v>6.4675849999999997</v>
      </c>
      <c r="L79" s="34">
        <v>8.5000000000000006E-5</v>
      </c>
      <c r="M79" s="34">
        <v>17.971492000000001</v>
      </c>
      <c r="N79" s="34">
        <v>0</v>
      </c>
      <c r="O79" s="34">
        <v>0</v>
      </c>
      <c r="P79" s="34">
        <f>SUM(D79:O79)</f>
        <v>71.658040299999996</v>
      </c>
      <c r="Q79" s="2"/>
      <c r="R79" s="57"/>
      <c r="S79" s="7">
        <f>+AVERAGE(D79:O79)</f>
        <v>5.971503358333333</v>
      </c>
    </row>
    <row r="80" spans="2:19" s="3" customFormat="1" ht="18" customHeight="1" thickTop="1" thickBot="1">
      <c r="B80" s="261"/>
      <c r="C80" s="29" t="s">
        <v>60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1.5767999999999999E-3</v>
      </c>
      <c r="N80" s="34">
        <v>0</v>
      </c>
      <c r="O80" s="34">
        <v>0</v>
      </c>
      <c r="P80" s="34">
        <f>SUM(D80:O80)</f>
        <v>1.5767999999999999E-3</v>
      </c>
      <c r="Q80" s="2"/>
      <c r="R80" s="57"/>
      <c r="S80" s="7">
        <f>+AVERAGE(D80:O80)</f>
        <v>1.314E-4</v>
      </c>
    </row>
    <row r="81" spans="2:19" s="3" customFormat="1" ht="18" customHeight="1" thickTop="1" thickBot="1">
      <c r="B81" s="261"/>
      <c r="C81" s="29" t="s">
        <v>139</v>
      </c>
      <c r="D81" s="34">
        <f t="shared" ref="D81:P81" si="14">+D78+D79+D80</f>
        <v>16.352544000000002</v>
      </c>
      <c r="E81" s="34">
        <f t="shared" si="14"/>
        <v>5.3413019999999998</v>
      </c>
      <c r="F81" s="52">
        <f t="shared" si="14"/>
        <v>5.0277580000000004</v>
      </c>
      <c r="G81" s="52">
        <f t="shared" si="14"/>
        <v>0</v>
      </c>
      <c r="H81" s="52">
        <f t="shared" si="14"/>
        <v>5.9623442999999998</v>
      </c>
      <c r="I81" s="52">
        <f t="shared" si="14"/>
        <v>0</v>
      </c>
      <c r="J81" s="52">
        <f t="shared" si="14"/>
        <v>14.534929999999999</v>
      </c>
      <c r="K81" s="52">
        <f t="shared" si="14"/>
        <v>6.4675849999999997</v>
      </c>
      <c r="L81" s="52">
        <f t="shared" si="14"/>
        <v>8.5000000000000006E-5</v>
      </c>
      <c r="M81" s="52">
        <f t="shared" si="14"/>
        <v>17.9730688</v>
      </c>
      <c r="N81" s="52">
        <f t="shared" si="14"/>
        <v>0</v>
      </c>
      <c r="O81" s="52">
        <f t="shared" si="14"/>
        <v>0</v>
      </c>
      <c r="P81" s="34">
        <f t="shared" si="14"/>
        <v>71.659617099999991</v>
      </c>
      <c r="Q81" s="2"/>
      <c r="R81" s="46">
        <f>+D81+E81+F81+G81</f>
        <v>26.721603999999999</v>
      </c>
      <c r="S81" s="2"/>
    </row>
    <row r="82" spans="2:19" s="3" customFormat="1" ht="18" customHeight="1" thickTop="1" thickBot="1">
      <c r="B82" s="261"/>
      <c r="C82" s="32" t="s">
        <v>67</v>
      </c>
      <c r="D82" s="35">
        <f>+(D81-'Expo 2014'!D81)/'Expo 2014'!D81</f>
        <v>36.042478485235932</v>
      </c>
      <c r="E82" s="35">
        <f>+(E81-'Expo 2014'!E81)/'Expo 2014'!E81</f>
        <v>6.9674868542408248</v>
      </c>
      <c r="F82" s="35">
        <f>+(F81-'Expo 2014'!F81)/'Expo 2014'!F81</f>
        <v>7.7219403858253113</v>
      </c>
      <c r="G82" s="35">
        <f>+(G81-'Expo 2014'!G81)/'Expo 2014'!G81</f>
        <v>-1</v>
      </c>
      <c r="H82" s="35">
        <f>+(H81-'Expo 2014'!H81)/'Expo 2014'!H81</f>
        <v>0.45944823250402467</v>
      </c>
      <c r="I82" s="35">
        <f>+(I81-'Expo 2014'!I81)/'Expo 2014'!I81</f>
        <v>-1</v>
      </c>
      <c r="J82" s="35">
        <f>+(J81-'Expo 2014'!J81)/'Expo 2014'!J81</f>
        <v>36.320931204212954</v>
      </c>
      <c r="K82" s="35">
        <f>+(K81-'Expo 2014'!K81)/'Expo 2014'!K81</f>
        <v>18.383469610745482</v>
      </c>
      <c r="L82" s="35">
        <f>+(L81-'Expo 2014'!L81)/'Expo 2014'!L81</f>
        <v>-0.92808798646362101</v>
      </c>
      <c r="M82" s="35">
        <f>+(M81-'Expo 2014'!M81)/'Expo 2014'!M81</f>
        <v>3.0372285270154089</v>
      </c>
      <c r="N82" s="35">
        <f>+(N81-'Expo 2014'!N81)/'Expo 2014'!N81</f>
        <v>-1</v>
      </c>
      <c r="O82" s="35">
        <f>+(O81-'Expo 2014'!O81)/'Expo 2014'!O81</f>
        <v>-1</v>
      </c>
      <c r="P82" s="35">
        <f>+(P81-'Expo 2014'!P81)/'Expo 2014'!P81</f>
        <v>2.6373206800459599</v>
      </c>
      <c r="Q82" s="2"/>
      <c r="R82" s="14"/>
      <c r="S82" s="2"/>
    </row>
    <row r="83" spans="2:19" ht="18" customHeight="1" thickTop="1" thickBot="1">
      <c r="B83" s="261" t="s">
        <v>61</v>
      </c>
      <c r="C83" s="31" t="s">
        <v>65</v>
      </c>
      <c r="D83" s="34">
        <f t="shared" ref="D83:P83" si="15">+D8+D3+D13+D18+D23+D28+D63+D33+D38+D43+D53+D58+D68+D73+D78+D48</f>
        <v>235.73154806799997</v>
      </c>
      <c r="E83" s="34">
        <f t="shared" si="15"/>
        <v>214.55509149499997</v>
      </c>
      <c r="F83" s="34">
        <f t="shared" si="15"/>
        <v>297.44854140100006</v>
      </c>
      <c r="G83" s="34">
        <f t="shared" si="15"/>
        <v>230.34679577600002</v>
      </c>
      <c r="H83" s="34">
        <f t="shared" si="15"/>
        <v>285.038347461</v>
      </c>
      <c r="I83" s="34">
        <f t="shared" si="15"/>
        <v>305.87165363600002</v>
      </c>
      <c r="J83" s="34">
        <f t="shared" si="15"/>
        <v>366.67518984400004</v>
      </c>
      <c r="K83" s="34">
        <f t="shared" si="15"/>
        <v>278.961585636</v>
      </c>
      <c r="L83" s="34">
        <f t="shared" si="15"/>
        <v>282.16943450099996</v>
      </c>
      <c r="M83" s="34">
        <f t="shared" si="15"/>
        <v>300.09471578199998</v>
      </c>
      <c r="N83" s="34">
        <f t="shared" si="15"/>
        <v>249.88671803299999</v>
      </c>
      <c r="O83" s="34">
        <f t="shared" si="15"/>
        <v>276.91372212100003</v>
      </c>
      <c r="P83" s="34">
        <f t="shared" si="15"/>
        <v>3323.6933437540006</v>
      </c>
      <c r="Q83" s="5"/>
      <c r="R83" s="57"/>
      <c r="S83" s="5">
        <f>D83+E83+F83+G83</f>
        <v>978.08197673999996</v>
      </c>
    </row>
    <row r="84" spans="2:19" ht="18" customHeight="1" thickTop="1" thickBot="1">
      <c r="B84" s="261"/>
      <c r="C84" s="29" t="s">
        <v>59</v>
      </c>
      <c r="D84" s="34">
        <f t="shared" ref="D84:P84" si="16">+D9+D4+D14+D19+D24+D29+D64+D34+D39+D44+D54+D59+D69+D74+D79+D49</f>
        <v>336.51713972200002</v>
      </c>
      <c r="E84" s="34">
        <f t="shared" si="16"/>
        <v>282.59736546500005</v>
      </c>
      <c r="F84" s="34">
        <f t="shared" si="16"/>
        <v>418.27982926900006</v>
      </c>
      <c r="G84" s="34">
        <f t="shared" si="16"/>
        <v>240.49661029000001</v>
      </c>
      <c r="H84" s="34">
        <f t="shared" si="16"/>
        <v>425.50755355500002</v>
      </c>
      <c r="I84" s="34">
        <f t="shared" si="16"/>
        <v>439.05016945200003</v>
      </c>
      <c r="J84" s="34">
        <f t="shared" si="16"/>
        <v>515.63298291600006</v>
      </c>
      <c r="K84" s="34">
        <f t="shared" si="16"/>
        <v>505.87521493099996</v>
      </c>
      <c r="L84" s="34">
        <f t="shared" si="16"/>
        <v>526.72954488999983</v>
      </c>
      <c r="M84" s="34">
        <f t="shared" si="16"/>
        <v>463.7096717039999</v>
      </c>
      <c r="N84" s="34">
        <f t="shared" si="16"/>
        <v>410.67666168799997</v>
      </c>
      <c r="O84" s="34">
        <f t="shared" si="16"/>
        <v>396.63715272899992</v>
      </c>
      <c r="P84" s="34">
        <f t="shared" si="16"/>
        <v>4961.7098966109997</v>
      </c>
      <c r="Q84" s="5"/>
      <c r="R84" s="57"/>
      <c r="S84" s="5">
        <f>D84+E84+F84+G84</f>
        <v>1277.8909447460003</v>
      </c>
    </row>
    <row r="85" spans="2:19" ht="18" customHeight="1" thickTop="1" thickBot="1">
      <c r="B85" s="261"/>
      <c r="C85" s="29" t="s">
        <v>60</v>
      </c>
      <c r="D85" s="34">
        <f t="shared" ref="D85:P85" si="17">+D10+D5+D15+D20+D25+D30+D65+D35+D40+D45+D55+D60+D70+D75+D80+D50</f>
        <v>119.58436772799999</v>
      </c>
      <c r="E85" s="34">
        <f t="shared" si="17"/>
        <v>57.154988652000014</v>
      </c>
      <c r="F85" s="34">
        <f t="shared" si="17"/>
        <v>65.044425908999983</v>
      </c>
      <c r="G85" s="34">
        <f t="shared" si="17"/>
        <v>52.072626191999987</v>
      </c>
      <c r="H85" s="34">
        <f t="shared" si="17"/>
        <v>48.425951013000009</v>
      </c>
      <c r="I85" s="34">
        <f t="shared" si="17"/>
        <v>45.509487194000009</v>
      </c>
      <c r="J85" s="34">
        <f t="shared" si="17"/>
        <v>48.958889568999993</v>
      </c>
      <c r="K85" s="34">
        <f t="shared" si="17"/>
        <v>73.286604813999986</v>
      </c>
      <c r="L85" s="34">
        <f t="shared" si="17"/>
        <v>64.599879354999985</v>
      </c>
      <c r="M85" s="34">
        <f t="shared" si="17"/>
        <v>76.994358977999994</v>
      </c>
      <c r="N85" s="34">
        <f t="shared" si="17"/>
        <v>54.969147910000004</v>
      </c>
      <c r="O85" s="34">
        <f t="shared" si="17"/>
        <v>57.937504680000011</v>
      </c>
      <c r="P85" s="34">
        <f t="shared" si="17"/>
        <v>764.53823199399972</v>
      </c>
      <c r="Q85" s="5"/>
      <c r="R85" s="57"/>
      <c r="S85" s="5">
        <f>D85+E85+F85+G85</f>
        <v>293.85640848099996</v>
      </c>
    </row>
    <row r="86" spans="2:19" ht="18" customHeight="1" thickTop="1" thickBot="1">
      <c r="B86" s="261"/>
      <c r="C86" s="29" t="s">
        <v>139</v>
      </c>
      <c r="D86" s="34">
        <f>+D83+D84+D85</f>
        <v>691.83305551799992</v>
      </c>
      <c r="E86" s="34">
        <f t="shared" ref="E86:N86" si="18">+E83+E84+E85</f>
        <v>554.30744561200004</v>
      </c>
      <c r="F86" s="34">
        <f t="shared" si="18"/>
        <v>780.7727965790001</v>
      </c>
      <c r="G86" s="34">
        <f t="shared" si="18"/>
        <v>522.91603225800009</v>
      </c>
      <c r="H86" s="34">
        <f t="shared" si="18"/>
        <v>758.97185202900005</v>
      </c>
      <c r="I86" s="34">
        <f t="shared" si="18"/>
        <v>790.43131028200014</v>
      </c>
      <c r="J86" s="34">
        <f t="shared" si="18"/>
        <v>931.26706232900017</v>
      </c>
      <c r="K86" s="34">
        <f t="shared" si="18"/>
        <v>858.12340538099988</v>
      </c>
      <c r="L86" s="34">
        <f t="shared" si="18"/>
        <v>873.49885874599977</v>
      </c>
      <c r="M86" s="34">
        <f t="shared" si="18"/>
        <v>840.79874646399992</v>
      </c>
      <c r="N86" s="34">
        <f t="shared" si="18"/>
        <v>715.53252763099999</v>
      </c>
      <c r="O86" s="34">
        <f>+O83+O84+O85</f>
        <v>731.48837952999986</v>
      </c>
      <c r="P86" s="34">
        <f>+P83+P84+P85</f>
        <v>9049.9414723589998</v>
      </c>
      <c r="Q86" s="5"/>
      <c r="R86" s="46">
        <f>+D86+E86+F86+G86</f>
        <v>2549.8293299669999</v>
      </c>
      <c r="S86" s="5">
        <f>D86+E86+F86+G86</f>
        <v>2549.8293299669999</v>
      </c>
    </row>
    <row r="87" spans="2:19" ht="18" customHeight="1" thickTop="1" thickBot="1">
      <c r="B87" s="261"/>
      <c r="C87" s="32" t="s">
        <v>67</v>
      </c>
      <c r="D87" s="35">
        <f>+(D86-'Expo 2014'!D86)/'Expo 2014'!D86</f>
        <v>-3.0833428470045079E-2</v>
      </c>
      <c r="E87" s="35">
        <f>+(E86-'Expo 2014'!E86)/'Expo 2014'!E86</f>
        <v>-0.11977802720304524</v>
      </c>
      <c r="F87" s="35">
        <f>+(F86-'Expo 2014'!F86)/'Expo 2014'!F86</f>
        <v>0.27732976708438262</v>
      </c>
      <c r="G87" s="35">
        <f>+(G86-'Expo 2014'!G86)/'Expo 2014'!G86</f>
        <v>-0.17451655450397208</v>
      </c>
      <c r="H87" s="35">
        <f>+(H86-'Expo 2014'!H86)/'Expo 2014'!H86</f>
        <v>0.1849199148449715</v>
      </c>
      <c r="I87" s="35">
        <f>+(I86-'Expo 2014'!I86)/'Expo 2014'!I86</f>
        <v>9.2575693013029425E-2</v>
      </c>
      <c r="J87" s="35">
        <f>+(J86-'Expo 2014'!J86)/'Expo 2014'!J86</f>
        <v>0.43790261712968404</v>
      </c>
      <c r="K87" s="35">
        <f>+(K86-'Expo 2014'!K86)/'Expo 2014'!K86</f>
        <v>0.28083962403546775</v>
      </c>
      <c r="L87" s="35">
        <f>+(L86-'Expo 2014'!L86)/'Expo 2014'!L86</f>
        <v>4.3302439703462141E-2</v>
      </c>
      <c r="M87" s="35">
        <f>+(M86-'Expo 2014'!M86)/'Expo 2014'!M86</f>
        <v>5.4700010237330237E-3</v>
      </c>
      <c r="N87" s="35">
        <f>+(N86-'Expo 2014'!N86)/'Expo 2014'!N86</f>
        <v>-0.12266865472895667</v>
      </c>
      <c r="O87" s="35">
        <f>+(O86-'Expo 2014'!O86)/'Expo 2014'!O86</f>
        <v>-0.18769115035453743</v>
      </c>
      <c r="P87" s="35">
        <f>+(P86-'Expo 2014'!P86)/'Expo 2014'!P86</f>
        <v>5.9964644630417133E-2</v>
      </c>
      <c r="Q87" s="6"/>
      <c r="R87" s="14"/>
    </row>
    <row r="88" spans="2:19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2"/>
      <c r="Q88" s="2"/>
      <c r="R88" s="7">
        <f>+R86-'Impo 2015'!R86</f>
        <v>-6726.7820155890004</v>
      </c>
      <c r="S88" s="2"/>
    </row>
    <row r="89" spans="2:19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2"/>
      <c r="Q89" s="2"/>
      <c r="R89" s="2"/>
      <c r="S89" s="2"/>
    </row>
    <row r="90" spans="2:19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2"/>
      <c r="Q90" s="2"/>
      <c r="R90" s="2">
        <v>6805.4114411559995</v>
      </c>
      <c r="S90" s="2"/>
    </row>
    <row r="91" spans="2:19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7"/>
      <c r="K91" s="2"/>
      <c r="L91" s="2"/>
      <c r="M91" s="2"/>
      <c r="N91" s="2"/>
      <c r="O91" s="1"/>
      <c r="P91" s="2"/>
      <c r="Q91" s="2"/>
      <c r="R91" s="2"/>
      <c r="S91" s="2"/>
    </row>
    <row r="92" spans="2:19" ht="18" customHeight="1">
      <c r="B92" s="36" t="s">
        <v>92</v>
      </c>
    </row>
    <row r="93" spans="2:19">
      <c r="R93" s="7">
        <f>+R86-R90</f>
        <v>-4255.582111189</v>
      </c>
    </row>
    <row r="103" spans="6:8">
      <c r="G103" s="2">
        <v>2015</v>
      </c>
      <c r="H103" s="2">
        <v>2016</v>
      </c>
    </row>
    <row r="104" spans="6:8">
      <c r="F104" s="36" t="s">
        <v>107</v>
      </c>
      <c r="G104" s="7">
        <f>D86+E86+F86+G86</f>
        <v>2549.8293299669999</v>
      </c>
      <c r="H104" s="7">
        <f>'Expo 2016'!D86+'Expo 2016'!E86+'Expo 2016'!F86+'Expo 2016'!G86</f>
        <v>3038.0300386830004</v>
      </c>
    </row>
    <row r="105" spans="6:8">
      <c r="F105" s="36" t="s">
        <v>106</v>
      </c>
      <c r="G105" s="7">
        <f>'Impo 2015'!D86+'Impo 2015'!E86+'Impo 2015'!F86+'Impo 2015'!G86</f>
        <v>9276.6113455560007</v>
      </c>
      <c r="H105" s="7">
        <f>'Impo 2016'!D86+'Impo 2016'!E86+'Impo 2016'!F86+'Impo 2016'!G86</f>
        <v>7315.9135940289989</v>
      </c>
    </row>
    <row r="106" spans="6:8">
      <c r="F106" s="36" t="s">
        <v>108</v>
      </c>
      <c r="G106" s="7">
        <f>G104-G105</f>
        <v>-6726.7820155890004</v>
      </c>
      <c r="H106" s="7">
        <f>H104-H105</f>
        <v>-4277.8835553459985</v>
      </c>
    </row>
    <row r="107" spans="6:8">
      <c r="H107" s="14">
        <f>(H106-G106)/G106</f>
        <v>-0.36405200206693111</v>
      </c>
    </row>
  </sheetData>
  <mergeCells count="17">
    <mergeCell ref="B3:B7"/>
    <mergeCell ref="B13:B17"/>
    <mergeCell ref="B18:B22"/>
    <mergeCell ref="B23:B27"/>
    <mergeCell ref="B28:B32"/>
    <mergeCell ref="B8:B12"/>
    <mergeCell ref="B33:B37"/>
    <mergeCell ref="B38:B42"/>
    <mergeCell ref="B43:B47"/>
    <mergeCell ref="B53:B57"/>
    <mergeCell ref="B58:B62"/>
    <mergeCell ref="B48:B52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1C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78"/>
  <sheetViews>
    <sheetView topLeftCell="A40" workbookViewId="0">
      <selection activeCell="B29" sqref="B29"/>
    </sheetView>
  </sheetViews>
  <sheetFormatPr defaultColWidth="11.42578125" defaultRowHeight="12.75"/>
  <cols>
    <col min="1" max="1" width="2.7109375" style="111" customWidth="1"/>
    <col min="2" max="16384" width="11.42578125" style="111"/>
  </cols>
  <sheetData>
    <row r="2" spans="2:14">
      <c r="B2" s="120" t="s">
        <v>120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2:14">
      <c r="B3" s="123"/>
      <c r="C3" s="124" t="s">
        <v>121</v>
      </c>
      <c r="D3" s="124" t="s">
        <v>122</v>
      </c>
      <c r="E3" s="124" t="s">
        <v>123</v>
      </c>
      <c r="F3" s="124" t="s">
        <v>124</v>
      </c>
      <c r="G3" s="124" t="s">
        <v>123</v>
      </c>
      <c r="H3" s="124" t="s">
        <v>125</v>
      </c>
      <c r="I3" s="124" t="s">
        <v>125</v>
      </c>
      <c r="J3" s="124" t="s">
        <v>124</v>
      </c>
      <c r="K3" s="124" t="s">
        <v>126</v>
      </c>
      <c r="L3" s="124" t="s">
        <v>127</v>
      </c>
      <c r="M3" s="124" t="s">
        <v>128</v>
      </c>
      <c r="N3" s="125" t="s">
        <v>129</v>
      </c>
    </row>
    <row r="4" spans="2:14">
      <c r="B4" s="123">
        <v>2018</v>
      </c>
      <c r="C4" s="126">
        <f>'Producción Acero Crudo 2018'!D61</f>
        <v>5325.2992470000008</v>
      </c>
      <c r="D4" s="126">
        <f>'Producción Acero Crudo 2018'!E61</f>
        <v>5187.1077978132089</v>
      </c>
      <c r="E4" s="126">
        <f>'Producción Acero Crudo 2018'!F61</f>
        <v>5808.5711672799998</v>
      </c>
      <c r="F4" s="126">
        <f>'Producción Acero Crudo 2018'!G61</f>
        <v>5547.9762962200002</v>
      </c>
      <c r="G4" s="126">
        <f>'Producción Acero Crudo 2018'!H61</f>
        <v>5259.6595426287331</v>
      </c>
      <c r="H4" s="126">
        <f>'Producción Acero Crudo 2018'!I61</f>
        <v>5468.3278346739562</v>
      </c>
      <c r="I4" s="126">
        <f>'Producción Acero Crudo 2018'!J61</f>
        <v>5674.2147429999995</v>
      </c>
      <c r="J4" s="126">
        <f>'Producción Acero Crudo 2018'!K61</f>
        <v>5405.8249999999998</v>
      </c>
      <c r="K4" s="126">
        <f>'Producción Acero Crudo 2018'!L61</f>
        <v>5524.8232467999997</v>
      </c>
      <c r="L4" s="126">
        <f>'Producción Acero Crudo 2018'!M61</f>
        <v>5603.0777999999991</v>
      </c>
      <c r="M4" s="126">
        <f>'Producción Acero Crudo 2018'!N61</f>
        <v>5275.3356000000003</v>
      </c>
      <c r="N4" s="127">
        <f>'Producción Acero Crudo 2018'!O61</f>
        <v>5023.2709259999992</v>
      </c>
    </row>
    <row r="5" spans="2:14">
      <c r="B5" s="123">
        <v>2017</v>
      </c>
      <c r="C5" s="126">
        <f>'Producción Acero Crudo 2017'!D61</f>
        <v>5221.3945160000003</v>
      </c>
      <c r="D5" s="126">
        <f>'Producción Acero Crudo 2017'!E61</f>
        <v>4959.517679999999</v>
      </c>
      <c r="E5" s="126">
        <f>'Producción Acero Crudo 2017'!F61</f>
        <v>5416.6609871000001</v>
      </c>
      <c r="F5" s="126">
        <f>'Producción Acero Crudo 2017'!G61</f>
        <v>5297.3519947300001</v>
      </c>
      <c r="G5" s="126">
        <f>'Producción Acero Crudo 2017'!H61</f>
        <v>5522.9754466699997</v>
      </c>
      <c r="H5" s="126">
        <f>'Producción Acero Crudo 2017'!I61</f>
        <v>5146.7383465359999</v>
      </c>
      <c r="I5" s="126">
        <f>'Producción Acero Crudo 2017'!J61</f>
        <v>5389.4410699999989</v>
      </c>
      <c r="J5" s="126">
        <f>'Producción Acero Crudo 2017'!K61</f>
        <v>5428.359130068</v>
      </c>
      <c r="K5" s="126">
        <f>'Producción Acero Crudo 2017'!L61</f>
        <v>5422.757114</v>
      </c>
      <c r="L5" s="126">
        <f>'Producción Acero Crudo 2017'!M61</f>
        <v>5589.3299059999999</v>
      </c>
      <c r="M5" s="126">
        <f>'Producción Acero Crudo 2017'!N61</f>
        <v>5559.3149487000001</v>
      </c>
      <c r="N5" s="127">
        <f>'Producción Acero Crudo 2017'!O61</f>
        <v>5274.8798529999995</v>
      </c>
    </row>
    <row r="6" spans="2:14">
      <c r="B6" s="12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2:14">
      <c r="B7" s="123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28"/>
    </row>
    <row r="8" spans="2:14">
      <c r="B8" s="129" t="s">
        <v>130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28"/>
    </row>
    <row r="9" spans="2:14">
      <c r="B9" s="123"/>
      <c r="C9" s="124" t="s">
        <v>121</v>
      </c>
      <c r="D9" s="124" t="s">
        <v>122</v>
      </c>
      <c r="E9" s="124" t="s">
        <v>123</v>
      </c>
      <c r="F9" s="124" t="s">
        <v>124</v>
      </c>
      <c r="G9" s="124" t="s">
        <v>123</v>
      </c>
      <c r="H9" s="124" t="s">
        <v>125</v>
      </c>
      <c r="I9" s="124" t="s">
        <v>125</v>
      </c>
      <c r="J9" s="124" t="s">
        <v>124</v>
      </c>
      <c r="K9" s="124" t="s">
        <v>126</v>
      </c>
      <c r="L9" s="124" t="s">
        <v>127</v>
      </c>
      <c r="M9" s="124" t="s">
        <v>128</v>
      </c>
      <c r="N9" s="125" t="s">
        <v>129</v>
      </c>
    </row>
    <row r="10" spans="2:14">
      <c r="B10" s="123">
        <v>2018</v>
      </c>
      <c r="C10" s="126">
        <f>'Producción Laminados 2018'!D81</f>
        <v>4424.3683247339986</v>
      </c>
      <c r="D10" s="126">
        <f>'Producción Laminados 2018'!E81</f>
        <v>4330.4370230799996</v>
      </c>
      <c r="E10" s="126">
        <f>'Producción Laminados 2018'!F81</f>
        <v>4889.2315157230014</v>
      </c>
      <c r="F10" s="126">
        <f>'Producción Laminados 2018'!G81</f>
        <v>4681.7894361160006</v>
      </c>
      <c r="G10" s="126">
        <f>'Producción Laminados 2018'!H81</f>
        <v>4599.8239526099987</v>
      </c>
      <c r="H10" s="126">
        <f>'Producción Laminados 2018'!I81</f>
        <v>4504.5077877410004</v>
      </c>
      <c r="I10" s="126">
        <f>'Producción Laminados 2018'!J81</f>
        <v>4519.6756854899995</v>
      </c>
      <c r="J10" s="126">
        <f>'Producción Laminados 2018'!K81</f>
        <v>4379.5421279999991</v>
      </c>
      <c r="K10" s="126">
        <f>'Producción Laminados 2018'!L81</f>
        <v>4509.9394809999985</v>
      </c>
      <c r="L10" s="126">
        <f>'Producción Laminados 2018'!M81</f>
        <v>4600.9363620000004</v>
      </c>
      <c r="M10" s="126">
        <f>'Producción Laminados 2018'!N81</f>
        <v>4338.9545750000007</v>
      </c>
      <c r="N10" s="127">
        <f>'Producción Laminados 2018'!O81</f>
        <v>3993.3096670000009</v>
      </c>
    </row>
    <row r="11" spans="2:14">
      <c r="B11" s="123">
        <v>2017</v>
      </c>
      <c r="C11" s="126">
        <f>'Producción Laminados 2017'!D81</f>
        <v>4268.1126248099999</v>
      </c>
      <c r="D11" s="126">
        <f>'Producción Laminados 2017'!E81</f>
        <v>4066.6759520000005</v>
      </c>
      <c r="E11" s="126">
        <f>'Producción Laminados 2017'!F81</f>
        <v>4517.8820073069992</v>
      </c>
      <c r="F11" s="126">
        <f>'Producción Laminados 2017'!G81</f>
        <v>4428.8920669999998</v>
      </c>
      <c r="G11" s="126">
        <f>'Producción Laminados 2017'!H81</f>
        <v>4455.2256909999996</v>
      </c>
      <c r="H11" s="126">
        <f>'Producción Laminados 2017'!I81</f>
        <v>4388.9039549820009</v>
      </c>
      <c r="I11" s="126">
        <f>'Producción Laminados 2017'!J81</f>
        <v>4434.31022424</v>
      </c>
      <c r="J11" s="126">
        <f>'Producción Laminados 2017'!K81</f>
        <v>4515.7432946030003</v>
      </c>
      <c r="K11" s="126">
        <f>'Producción Laminados 2017'!L81</f>
        <v>4388.8225175999978</v>
      </c>
      <c r="L11" s="126">
        <f>'Producción Laminados 2017'!M81</f>
        <v>4549.2170561929997</v>
      </c>
      <c r="M11" s="126">
        <f>'Producción Laminados 2017'!N81</f>
        <v>4543.7812464300014</v>
      </c>
      <c r="N11" s="127">
        <f>'Producción Laminados 2017'!O81</f>
        <v>4329.7045006409971</v>
      </c>
    </row>
    <row r="12" spans="2:14">
      <c r="B12" s="123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28"/>
    </row>
    <row r="13" spans="2:14">
      <c r="B13" s="123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28"/>
    </row>
    <row r="14" spans="2:14">
      <c r="B14" s="129" t="s">
        <v>131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28"/>
    </row>
    <row r="15" spans="2:14">
      <c r="B15" s="123"/>
      <c r="C15" s="124" t="s">
        <v>121</v>
      </c>
      <c r="D15" s="124" t="s">
        <v>122</v>
      </c>
      <c r="E15" s="124" t="s">
        <v>123</v>
      </c>
      <c r="F15" s="124" t="s">
        <v>124</v>
      </c>
      <c r="G15" s="124" t="s">
        <v>123</v>
      </c>
      <c r="H15" s="124" t="s">
        <v>125</v>
      </c>
      <c r="I15" s="124" t="s">
        <v>125</v>
      </c>
      <c r="J15" s="124" t="s">
        <v>124</v>
      </c>
      <c r="K15" s="124" t="s">
        <v>126</v>
      </c>
      <c r="L15" s="124" t="s">
        <v>127</v>
      </c>
      <c r="M15" s="124" t="s">
        <v>128</v>
      </c>
      <c r="N15" s="125" t="s">
        <v>129</v>
      </c>
    </row>
    <row r="16" spans="2:14">
      <c r="B16" s="123">
        <v>2018</v>
      </c>
      <c r="C16" s="126">
        <f>'Producción Laminados 2018'!D78</f>
        <v>2088.225666160999</v>
      </c>
      <c r="D16" s="126">
        <f>'Producción Laminados 2018'!E78</f>
        <v>2112.0265241730003</v>
      </c>
      <c r="E16" s="126">
        <f>'Producción Laminados 2018'!F78</f>
        <v>2350.3130525130005</v>
      </c>
      <c r="F16" s="126">
        <f>'Producción Laminados 2018'!G78</f>
        <v>2213.3501825579997</v>
      </c>
      <c r="G16" s="126">
        <f>'Producción Laminados 2018'!H78</f>
        <v>2180.6651951980007</v>
      </c>
      <c r="H16" s="126">
        <f>'Producción Laminados 2018'!I78</f>
        <v>2210.9991892370003</v>
      </c>
      <c r="I16" s="126">
        <f>'Producción Laminados 2018'!J78</f>
        <v>2248.2558359999994</v>
      </c>
      <c r="J16" s="126">
        <f>'Producción Laminados 2018'!K78</f>
        <v>2155.0231279999998</v>
      </c>
      <c r="K16" s="126">
        <f>'Producción Laminados 2018'!L78</f>
        <v>2153.260480999998</v>
      </c>
      <c r="L16" s="126">
        <f>'Producción Laminados 2018'!M78</f>
        <v>2215.3403619999999</v>
      </c>
      <c r="M16" s="126">
        <f>'Producción Laminados 2018'!N78</f>
        <v>2114.2815750000004</v>
      </c>
      <c r="N16" s="127">
        <f>'Producción Laminados 2018'!O78</f>
        <v>1863.5186670000012</v>
      </c>
    </row>
    <row r="17" spans="2:14">
      <c r="B17" s="123">
        <v>2017</v>
      </c>
      <c r="C17" s="126">
        <f>'Producción Laminados 2017'!D78</f>
        <v>2033.0215689549993</v>
      </c>
      <c r="D17" s="126">
        <f>'Producción Laminados 2017'!E78</f>
        <v>2021.8508150000005</v>
      </c>
      <c r="E17" s="126">
        <f>'Producción Laminados 2017'!F78</f>
        <v>2213.6992804519991</v>
      </c>
      <c r="F17" s="126">
        <f>'Producción Laminados 2017'!G78</f>
        <v>2102.3963329999992</v>
      </c>
      <c r="G17" s="126">
        <f>'Producción Laminados 2017'!H78</f>
        <v>2175.8757460000006</v>
      </c>
      <c r="H17" s="126">
        <f>'Producción Laminados 2017'!I78</f>
        <v>2127.7451774950005</v>
      </c>
      <c r="I17" s="126">
        <f>'Producción Laminados 2017'!J78</f>
        <v>2101.2672803370001</v>
      </c>
      <c r="J17" s="126">
        <f>'Producción Laminados 2017'!K78</f>
        <v>2138.7871941230005</v>
      </c>
      <c r="K17" s="126">
        <f>'Producción Laminados 2017'!L78</f>
        <v>2089.0578041089984</v>
      </c>
      <c r="L17" s="126">
        <f>'Producción Laminados 2017'!M78</f>
        <v>2196.7087560609993</v>
      </c>
      <c r="M17" s="126">
        <f>'Producción Laminados 2017'!N78</f>
        <v>2172.0564368090004</v>
      </c>
      <c r="N17" s="127">
        <f>'Producción Laminados 2017'!O78</f>
        <v>2033.167346081997</v>
      </c>
    </row>
    <row r="18" spans="2:14">
      <c r="B18" s="123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28"/>
    </row>
    <row r="19" spans="2:14">
      <c r="B19" s="123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28"/>
    </row>
    <row r="20" spans="2:14">
      <c r="B20" s="129" t="s">
        <v>132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28"/>
    </row>
    <row r="21" spans="2:14">
      <c r="B21" s="123"/>
      <c r="C21" s="124" t="s">
        <v>121</v>
      </c>
      <c r="D21" s="124" t="s">
        <v>122</v>
      </c>
      <c r="E21" s="124" t="s">
        <v>123</v>
      </c>
      <c r="F21" s="124" t="s">
        <v>124</v>
      </c>
      <c r="G21" s="124" t="s">
        <v>123</v>
      </c>
      <c r="H21" s="124" t="s">
        <v>125</v>
      </c>
      <c r="I21" s="124" t="s">
        <v>125</v>
      </c>
      <c r="J21" s="124" t="s">
        <v>124</v>
      </c>
      <c r="K21" s="124" t="s">
        <v>126</v>
      </c>
      <c r="L21" s="124" t="s">
        <v>127</v>
      </c>
      <c r="M21" s="124" t="s">
        <v>128</v>
      </c>
      <c r="N21" s="125" t="s">
        <v>129</v>
      </c>
    </row>
    <row r="22" spans="2:14">
      <c r="B22" s="123">
        <v>2018</v>
      </c>
      <c r="C22" s="126">
        <f>'Producción Laminados 2018'!D79</f>
        <v>2215.5136585730002</v>
      </c>
      <c r="D22" s="126">
        <f>'Producción Laminados 2018'!E79</f>
        <v>2101.5094989069999</v>
      </c>
      <c r="E22" s="126">
        <f>'Producción Laminados 2018'!F79</f>
        <v>2381.8064632099999</v>
      </c>
      <c r="F22" s="126">
        <f>'Producción Laminados 2018'!G79</f>
        <v>2306.9472535580007</v>
      </c>
      <c r="G22" s="126">
        <f>'Producción Laminados 2018'!H79</f>
        <v>2285.9477574119996</v>
      </c>
      <c r="H22" s="126">
        <f>'Producción Laminados 2018'!I79</f>
        <v>2152.4285985040001</v>
      </c>
      <c r="I22" s="126">
        <f>'Producción Laminados 2018'!J79</f>
        <v>2122.9318494899999</v>
      </c>
      <c r="J22" s="126">
        <f>'Producción Laminados 2018'!K79</f>
        <v>2064.7530000000002</v>
      </c>
      <c r="K22" s="126">
        <f>'Producción Laminados 2018'!L79</f>
        <v>2214.1770000000001</v>
      </c>
      <c r="L22" s="126">
        <f>'Producción Laminados 2018'!M79</f>
        <v>2238.076</v>
      </c>
      <c r="M22" s="126">
        <f>'Producción Laminados 2018'!N79</f>
        <v>2094.5360000000001</v>
      </c>
      <c r="N22" s="127">
        <f>'Producción Laminados 2018'!O79</f>
        <v>2025.3700000000001</v>
      </c>
    </row>
    <row r="23" spans="2:14">
      <c r="B23" s="123">
        <v>2017</v>
      </c>
      <c r="C23" s="126">
        <f>'Producción Laminados 2017'!D79</f>
        <v>2116.7240558550002</v>
      </c>
      <c r="D23" s="126">
        <f>'Producción Laminados 2017'!E79</f>
        <v>1953.1491370000001</v>
      </c>
      <c r="E23" s="126">
        <f>'Producción Laminados 2017'!F79</f>
        <v>2165.8097268549996</v>
      </c>
      <c r="F23" s="126">
        <f>'Producción Laminados 2017'!G79</f>
        <v>2199.4457339999999</v>
      </c>
      <c r="G23" s="126">
        <f>'Producción Laminados 2017'!H79</f>
        <v>2160.0549449999999</v>
      </c>
      <c r="H23" s="126">
        <f>'Producción Laminados 2017'!I79</f>
        <v>2122.2677774870003</v>
      </c>
      <c r="I23" s="126">
        <f>'Producción Laminados 2017'!J79</f>
        <v>2208.864943903</v>
      </c>
      <c r="J23" s="126">
        <f>'Producción Laminados 2017'!K79</f>
        <v>2251.7331004799998</v>
      </c>
      <c r="K23" s="126">
        <f>'Producción Laminados 2017'!L79</f>
        <v>2162.7557134909998</v>
      </c>
      <c r="L23" s="126">
        <f>'Producción Laminados 2017'!M79</f>
        <v>2202.100300132</v>
      </c>
      <c r="M23" s="126">
        <f>'Producción Laminados 2017'!N79</f>
        <v>2230.0138096210003</v>
      </c>
      <c r="N23" s="127">
        <f>'Producción Laminados 2017'!O79</f>
        <v>2148.7191545589999</v>
      </c>
    </row>
    <row r="24" spans="2:14">
      <c r="B24" s="1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28"/>
    </row>
    <row r="25" spans="2:14">
      <c r="B25" s="123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28"/>
    </row>
    <row r="26" spans="2:14">
      <c r="B26" s="129" t="s">
        <v>133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28"/>
    </row>
    <row r="27" spans="2:14">
      <c r="B27" s="123"/>
      <c r="C27" s="124" t="s">
        <v>121</v>
      </c>
      <c r="D27" s="124" t="s">
        <v>122</v>
      </c>
      <c r="E27" s="124" t="s">
        <v>123</v>
      </c>
      <c r="F27" s="124" t="s">
        <v>124</v>
      </c>
      <c r="G27" s="124" t="s">
        <v>123</v>
      </c>
      <c r="H27" s="124" t="s">
        <v>125</v>
      </c>
      <c r="I27" s="124" t="s">
        <v>125</v>
      </c>
      <c r="J27" s="124" t="s">
        <v>124</v>
      </c>
      <c r="K27" s="124" t="s">
        <v>126</v>
      </c>
      <c r="L27" s="124" t="s">
        <v>127</v>
      </c>
      <c r="M27" s="124" t="s">
        <v>128</v>
      </c>
      <c r="N27" s="125" t="s">
        <v>129</v>
      </c>
    </row>
    <row r="28" spans="2:14">
      <c r="B28" s="123">
        <v>2018</v>
      </c>
      <c r="C28" s="126">
        <f>'Producción Laminados 2018'!D80</f>
        <v>120.62899999999999</v>
      </c>
      <c r="D28" s="126">
        <f>'Producción Laminados 2018'!E80</f>
        <v>116.90100000000001</v>
      </c>
      <c r="E28" s="126">
        <f>'Producción Laminados 2018'!F80</f>
        <v>157.11200000000002</v>
      </c>
      <c r="F28" s="126">
        <f>'Producción Laminados 2018'!G80</f>
        <v>161.49200000000002</v>
      </c>
      <c r="G28" s="126">
        <f>'Producción Laminados 2018'!H80</f>
        <v>133.21100000000001</v>
      </c>
      <c r="H28" s="126">
        <f>'Producción Laminados 2018'!I80</f>
        <v>141.08000000000001</v>
      </c>
      <c r="I28" s="126">
        <f>'Producción Laminados 2018'!J80</f>
        <v>148.488</v>
      </c>
      <c r="J28" s="126">
        <f>'Producción Laminados 2018'!K80</f>
        <v>159.76599999999999</v>
      </c>
      <c r="K28" s="126">
        <f>'Producción Laminados 2018'!L80</f>
        <v>142.50200000000001</v>
      </c>
      <c r="L28" s="126">
        <f>'Producción Laminados 2018'!M80</f>
        <v>147.52000000000001</v>
      </c>
      <c r="M28" s="126">
        <f>'Producción Laminados 2018'!N80</f>
        <v>130.137</v>
      </c>
      <c r="N28" s="127">
        <f>'Producción Laminados 2018'!O80</f>
        <v>104.42099999999999</v>
      </c>
    </row>
    <row r="29" spans="2:14">
      <c r="B29" s="130">
        <v>2017</v>
      </c>
      <c r="C29" s="131">
        <f>'Producción Laminados 2017'!D80</f>
        <v>118.36699999999999</v>
      </c>
      <c r="D29" s="131">
        <f>'Producción Laminados 2017'!E80</f>
        <v>91.676000000000002</v>
      </c>
      <c r="E29" s="131">
        <f>'Producción Laminados 2017'!F80</f>
        <v>138.37299999999999</v>
      </c>
      <c r="F29" s="131">
        <f>'Producción Laminados 2017'!G80</f>
        <v>127.05</v>
      </c>
      <c r="G29" s="131">
        <f>'Producción Laminados 2017'!H80</f>
        <v>119.295</v>
      </c>
      <c r="H29" s="131">
        <f>'Producción Laminados 2017'!I80</f>
        <v>138.89100000000002</v>
      </c>
      <c r="I29" s="131">
        <f>'Producción Laminados 2017'!J80</f>
        <v>124.178</v>
      </c>
      <c r="J29" s="131">
        <f>'Producción Laminados 2017'!K80</f>
        <v>125.223</v>
      </c>
      <c r="K29" s="131">
        <f>'Producción Laminados 2017'!L80</f>
        <v>137.00900000000001</v>
      </c>
      <c r="L29" s="131">
        <f>'Producción Laminados 2017'!M80</f>
        <v>150.40800000000002</v>
      </c>
      <c r="M29" s="131">
        <f>'Producción Laminados 2017'!N80</f>
        <v>141.71100000000001</v>
      </c>
      <c r="N29" s="132">
        <f>'Producción Laminados 2017'!O80</f>
        <v>147.81799999999998</v>
      </c>
    </row>
    <row r="30" spans="2:14"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2" spans="2:14">
      <c r="B32" s="120" t="s">
        <v>147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</row>
    <row r="33" spans="2:14">
      <c r="B33" s="123"/>
      <c r="C33" s="124" t="s">
        <v>121</v>
      </c>
      <c r="D33" s="124" t="s">
        <v>122</v>
      </c>
      <c r="E33" s="124" t="s">
        <v>123</v>
      </c>
      <c r="F33" s="124" t="s">
        <v>124</v>
      </c>
      <c r="G33" s="124" t="s">
        <v>123</v>
      </c>
      <c r="H33" s="124" t="s">
        <v>125</v>
      </c>
      <c r="I33" s="124" t="s">
        <v>125</v>
      </c>
      <c r="J33" s="124" t="s">
        <v>124</v>
      </c>
      <c r="K33" s="124" t="s">
        <v>126</v>
      </c>
      <c r="L33" s="124" t="s">
        <v>127</v>
      </c>
      <c r="M33" s="124" t="s">
        <v>128</v>
      </c>
      <c r="N33" s="125" t="s">
        <v>129</v>
      </c>
    </row>
    <row r="34" spans="2:14">
      <c r="B34" s="123">
        <v>2018</v>
      </c>
      <c r="C34" s="126">
        <f>'Impo 2018'!D86</f>
        <v>2006.18287521502</v>
      </c>
      <c r="D34" s="126">
        <f>'Impo 2018'!E86</f>
        <v>1674.5324482883998</v>
      </c>
      <c r="E34" s="126">
        <f>'Impo 2018'!F86</f>
        <v>1893.1014503695003</v>
      </c>
      <c r="F34" s="126">
        <f>'Impo 2018'!G86</f>
        <v>2084.0352309709001</v>
      </c>
      <c r="G34" s="126">
        <f>'Impo 2018'!H86</f>
        <v>2214.8659554875999</v>
      </c>
      <c r="H34" s="126">
        <f>'Impo 2018'!I86</f>
        <v>1941.4782908489999</v>
      </c>
      <c r="I34" s="126">
        <f>'Impo 2018'!J86</f>
        <v>1901.1369522312002</v>
      </c>
      <c r="J34" s="126">
        <f>'Impo 2018'!K86</f>
        <v>2114.1460694469392</v>
      </c>
      <c r="K34" s="126">
        <f>'Impo 2018'!L86</f>
        <v>1807.9693764763997</v>
      </c>
      <c r="L34" s="126">
        <f>'Impo 2018'!M86</f>
        <v>1998.0351952690999</v>
      </c>
      <c r="M34" s="126">
        <f>'Impo 2018'!N86</f>
        <v>1894.2539883499996</v>
      </c>
      <c r="N34" s="127">
        <f>'Impo 2018'!O86</f>
        <v>0</v>
      </c>
    </row>
    <row r="35" spans="2:14">
      <c r="B35" s="123">
        <v>2017</v>
      </c>
      <c r="C35" s="126">
        <f>'Impo 2017'!D86</f>
        <v>2160.8248128206665</v>
      </c>
      <c r="D35" s="126">
        <f>'Impo 2017'!E86</f>
        <v>1803.7585967627667</v>
      </c>
      <c r="E35" s="126">
        <f>'Impo 2017'!F86</f>
        <v>2362.7284358087668</v>
      </c>
      <c r="F35" s="126">
        <f>'Impo 2017'!G86</f>
        <v>2094.3816310472339</v>
      </c>
      <c r="G35" s="126">
        <f>'Impo 2017'!H86</f>
        <v>2336.3135562970874</v>
      </c>
      <c r="H35" s="126">
        <f>'Impo 2017'!I86</f>
        <v>2291.9063174746329</v>
      </c>
      <c r="I35" s="126">
        <f>'Impo 2017'!J86</f>
        <v>2078.9636483193103</v>
      </c>
      <c r="J35" s="126">
        <f>'Impo 2017'!K86</f>
        <v>2250.4234327948998</v>
      </c>
      <c r="K35" s="126">
        <f>'Impo 2017'!L86</f>
        <v>2095.666238582754</v>
      </c>
      <c r="L35" s="126">
        <f>'Impo 2017'!M86</f>
        <v>2082.4512806339208</v>
      </c>
      <c r="M35" s="126">
        <f>'Impo 2017'!N86</f>
        <v>1784.7331423247208</v>
      </c>
      <c r="N35" s="127">
        <f>'Impo 2017'!O86</f>
        <v>1752.6995814673508</v>
      </c>
    </row>
    <row r="36" spans="2:14">
      <c r="B36" s="123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28"/>
    </row>
    <row r="37" spans="2:14">
      <c r="B37" s="123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28"/>
    </row>
    <row r="38" spans="2:14">
      <c r="B38" s="129" t="s">
        <v>148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28"/>
    </row>
    <row r="39" spans="2:14">
      <c r="B39" s="123"/>
      <c r="C39" s="124" t="s">
        <v>121</v>
      </c>
      <c r="D39" s="124" t="s">
        <v>122</v>
      </c>
      <c r="E39" s="124" t="s">
        <v>123</v>
      </c>
      <c r="F39" s="124" t="s">
        <v>124</v>
      </c>
      <c r="G39" s="124" t="s">
        <v>123</v>
      </c>
      <c r="H39" s="124" t="s">
        <v>125</v>
      </c>
      <c r="I39" s="124" t="s">
        <v>125</v>
      </c>
      <c r="J39" s="124" t="s">
        <v>124</v>
      </c>
      <c r="K39" s="124" t="s">
        <v>126</v>
      </c>
      <c r="L39" s="124" t="s">
        <v>127</v>
      </c>
      <c r="M39" s="124" t="s">
        <v>128</v>
      </c>
      <c r="N39" s="125" t="s">
        <v>129</v>
      </c>
    </row>
    <row r="40" spans="2:14">
      <c r="B40" s="123">
        <v>2018</v>
      </c>
      <c r="C40" s="126">
        <f>'Expo 2018'!D86</f>
        <v>824.67441563770001</v>
      </c>
      <c r="D40" s="126">
        <f>'Expo 2018'!E86</f>
        <v>842.89124319519999</v>
      </c>
      <c r="E40" s="126">
        <f>'Expo 2018'!F86</f>
        <v>992.76607026019997</v>
      </c>
      <c r="F40" s="126">
        <f>'Expo 2018'!G86</f>
        <v>890.76023870950007</v>
      </c>
      <c r="G40" s="126">
        <f>'Expo 2018'!H86</f>
        <v>852.14272465730005</v>
      </c>
      <c r="H40" s="126">
        <f>'Expo 2018'!I86</f>
        <v>815.18195391490008</v>
      </c>
      <c r="I40" s="126">
        <f>'Expo 2018'!J86</f>
        <v>744.00454376640005</v>
      </c>
      <c r="J40" s="126">
        <f>'Expo 2018'!K86</f>
        <v>893.28788102758995</v>
      </c>
      <c r="K40" s="126">
        <f>'Expo 2018'!L86</f>
        <v>621.2709410130999</v>
      </c>
      <c r="L40" s="126">
        <f>'Expo 2018'!M86</f>
        <v>786.00748975860017</v>
      </c>
      <c r="M40" s="126">
        <f>'Expo 2018'!N86</f>
        <v>814.35348415999988</v>
      </c>
      <c r="N40" s="127">
        <f>'Expo 2018'!O86</f>
        <v>0</v>
      </c>
    </row>
    <row r="41" spans="2:14">
      <c r="B41" s="123">
        <v>2017</v>
      </c>
      <c r="C41" s="126">
        <f>'Expo 2017'!D86</f>
        <v>839.71574816499992</v>
      </c>
      <c r="D41" s="126">
        <f>'Expo 2017'!E86</f>
        <v>733.31992779220013</v>
      </c>
      <c r="E41" s="126">
        <f>'Expo 2017'!F86</f>
        <v>851.26498491580003</v>
      </c>
      <c r="F41" s="126">
        <f>'Expo 2017'!G86</f>
        <v>736.54566373593332</v>
      </c>
      <c r="G41" s="126">
        <f>'Expo 2017'!H86</f>
        <v>936.11036353023326</v>
      </c>
      <c r="H41" s="126">
        <f>'Expo 2017'!I86</f>
        <v>923.75574580773332</v>
      </c>
      <c r="I41" s="126">
        <f>'Expo 2017'!J86</f>
        <v>787.69791635133333</v>
      </c>
      <c r="J41" s="126">
        <f>'Expo 2017'!K86</f>
        <v>974.8865088296335</v>
      </c>
      <c r="K41" s="126">
        <f>'Expo 2017'!L86</f>
        <v>926.03855917963324</v>
      </c>
      <c r="L41" s="126">
        <f>'Expo 2017'!M86</f>
        <v>925.67372391543336</v>
      </c>
      <c r="M41" s="126">
        <f>'Expo 2017'!N86</f>
        <v>948.77854253193334</v>
      </c>
      <c r="N41" s="127">
        <f>'Expo 2017'!O86</f>
        <v>1038.8600053336788</v>
      </c>
    </row>
    <row r="42" spans="2:14">
      <c r="B42" s="123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28"/>
    </row>
    <row r="43" spans="2:14">
      <c r="B43" s="12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28"/>
    </row>
    <row r="44" spans="2:14">
      <c r="B44" s="129" t="s">
        <v>149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28"/>
    </row>
    <row r="45" spans="2:14">
      <c r="B45" s="123"/>
      <c r="C45" s="124" t="s">
        <v>121</v>
      </c>
      <c r="D45" s="124" t="s">
        <v>122</v>
      </c>
      <c r="E45" s="124" t="s">
        <v>123</v>
      </c>
      <c r="F45" s="124" t="s">
        <v>124</v>
      </c>
      <c r="G45" s="124" t="s">
        <v>123</v>
      </c>
      <c r="H45" s="124" t="s">
        <v>125</v>
      </c>
      <c r="I45" s="124" t="s">
        <v>125</v>
      </c>
      <c r="J45" s="124" t="s">
        <v>124</v>
      </c>
      <c r="K45" s="124" t="s">
        <v>126</v>
      </c>
      <c r="L45" s="124" t="s">
        <v>127</v>
      </c>
      <c r="M45" s="124" t="s">
        <v>128</v>
      </c>
      <c r="N45" s="125" t="s">
        <v>129</v>
      </c>
    </row>
    <row r="46" spans="2:14">
      <c r="B46" s="133" t="s">
        <v>107</v>
      </c>
      <c r="C46" s="126">
        <f>C40</f>
        <v>824.67441563770001</v>
      </c>
      <c r="D46" s="126">
        <f t="shared" ref="D46:N46" si="0">D40</f>
        <v>842.89124319519999</v>
      </c>
      <c r="E46" s="126">
        <f t="shared" si="0"/>
        <v>992.76607026019997</v>
      </c>
      <c r="F46" s="126">
        <f t="shared" si="0"/>
        <v>890.76023870950007</v>
      </c>
      <c r="G46" s="126">
        <f t="shared" si="0"/>
        <v>852.14272465730005</v>
      </c>
      <c r="H46" s="126">
        <f t="shared" si="0"/>
        <v>815.18195391490008</v>
      </c>
      <c r="I46" s="126">
        <f t="shared" si="0"/>
        <v>744.00454376640005</v>
      </c>
      <c r="J46" s="126">
        <f t="shared" si="0"/>
        <v>893.28788102758995</v>
      </c>
      <c r="K46" s="126">
        <f t="shared" si="0"/>
        <v>621.2709410130999</v>
      </c>
      <c r="L46" s="126">
        <f t="shared" si="0"/>
        <v>786.00748975860017</v>
      </c>
      <c r="M46" s="126">
        <f t="shared" si="0"/>
        <v>814.35348415999988</v>
      </c>
      <c r="N46" s="127">
        <f t="shared" si="0"/>
        <v>0</v>
      </c>
    </row>
    <row r="47" spans="2:14">
      <c r="B47" s="133" t="s">
        <v>106</v>
      </c>
      <c r="C47" s="126">
        <f>C34</f>
        <v>2006.18287521502</v>
      </c>
      <c r="D47" s="126">
        <f t="shared" ref="D47:N47" si="1">D34</f>
        <v>1674.5324482883998</v>
      </c>
      <c r="E47" s="126">
        <f t="shared" si="1"/>
        <v>1893.1014503695003</v>
      </c>
      <c r="F47" s="126">
        <f t="shared" si="1"/>
        <v>2084.0352309709001</v>
      </c>
      <c r="G47" s="126">
        <f t="shared" si="1"/>
        <v>2214.8659554875999</v>
      </c>
      <c r="H47" s="126">
        <f t="shared" si="1"/>
        <v>1941.4782908489999</v>
      </c>
      <c r="I47" s="126">
        <f t="shared" si="1"/>
        <v>1901.1369522312002</v>
      </c>
      <c r="J47" s="126">
        <f t="shared" si="1"/>
        <v>2114.1460694469392</v>
      </c>
      <c r="K47" s="126">
        <f t="shared" si="1"/>
        <v>1807.9693764763997</v>
      </c>
      <c r="L47" s="126">
        <f t="shared" si="1"/>
        <v>1998.0351952690999</v>
      </c>
      <c r="M47" s="126">
        <f t="shared" si="1"/>
        <v>1894.2539883499996</v>
      </c>
      <c r="N47" s="127">
        <f t="shared" si="1"/>
        <v>0</v>
      </c>
    </row>
    <row r="48" spans="2:14">
      <c r="B48" s="134" t="s">
        <v>108</v>
      </c>
      <c r="C48" s="135">
        <f>C46-C47</f>
        <v>-1181.5084595773201</v>
      </c>
      <c r="D48" s="135">
        <f t="shared" ref="D48:N48" si="2">D46-D47</f>
        <v>-831.6412050931998</v>
      </c>
      <c r="E48" s="135">
        <f t="shared" si="2"/>
        <v>-900.33538010930033</v>
      </c>
      <c r="F48" s="135">
        <f t="shared" si="2"/>
        <v>-1193.2749922614</v>
      </c>
      <c r="G48" s="135">
        <f t="shared" si="2"/>
        <v>-1362.7232308302998</v>
      </c>
      <c r="H48" s="135">
        <f t="shared" si="2"/>
        <v>-1126.2963369340998</v>
      </c>
      <c r="I48" s="135">
        <f t="shared" si="2"/>
        <v>-1157.1324084648002</v>
      </c>
      <c r="J48" s="135">
        <f t="shared" si="2"/>
        <v>-1220.8581884193493</v>
      </c>
      <c r="K48" s="135">
        <f t="shared" si="2"/>
        <v>-1186.6984354632998</v>
      </c>
      <c r="L48" s="135">
        <f t="shared" si="2"/>
        <v>-1212.0277055104998</v>
      </c>
      <c r="M48" s="135">
        <f t="shared" si="2"/>
        <v>-1079.9005041899998</v>
      </c>
      <c r="N48" s="136">
        <f t="shared" si="2"/>
        <v>0</v>
      </c>
    </row>
    <row r="51" spans="2:14">
      <c r="B51" s="120" t="s">
        <v>150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2"/>
    </row>
    <row r="52" spans="2:14">
      <c r="B52" s="123"/>
      <c r="C52" s="124" t="s">
        <v>121</v>
      </c>
      <c r="D52" s="124" t="s">
        <v>122</v>
      </c>
      <c r="E52" s="124" t="s">
        <v>123</v>
      </c>
      <c r="F52" s="124" t="s">
        <v>124</v>
      </c>
      <c r="G52" s="124" t="s">
        <v>123</v>
      </c>
      <c r="H52" s="124" t="s">
        <v>125</v>
      </c>
      <c r="I52" s="124" t="s">
        <v>125</v>
      </c>
      <c r="J52" s="124" t="s">
        <v>124</v>
      </c>
      <c r="K52" s="124" t="s">
        <v>126</v>
      </c>
      <c r="L52" s="124" t="s">
        <v>127</v>
      </c>
      <c r="M52" s="124" t="s">
        <v>128</v>
      </c>
      <c r="N52" s="125" t="s">
        <v>129</v>
      </c>
    </row>
    <row r="53" spans="2:14">
      <c r="B53" s="123">
        <v>2018</v>
      </c>
      <c r="C53" s="126">
        <f>'Consumo Aparente 2018'!D91</f>
        <v>5593.7779230013184</v>
      </c>
      <c r="D53" s="126">
        <f>'Consumo Aparente 2018'!E91</f>
        <v>5133.7387807531986</v>
      </c>
      <c r="E53" s="126">
        <f>'Consumo Aparente 2018'!F91</f>
        <v>5726.3118033223</v>
      </c>
      <c r="F53" s="126">
        <f>'Consumo Aparente 2018'!G91</f>
        <v>5710.7518964973997</v>
      </c>
      <c r="G53" s="126">
        <f>'Consumo Aparente 2018'!H91</f>
        <v>5438.5629479602994</v>
      </c>
      <c r="H53" s="126">
        <f>'Consumo Aparente 2018'!I91</f>
        <v>5893.409539935099</v>
      </c>
      <c r="I53" s="126">
        <f>'Consumo Aparente 2018'!J91</f>
        <v>5645.5609775047978</v>
      </c>
      <c r="J53" s="126">
        <f>'Consumo Aparente 2018'!K91</f>
        <v>5889.8631970393499</v>
      </c>
      <c r="K53" s="126">
        <f>'Consumo Aparente 2018'!L91</f>
        <v>5465.7148976032977</v>
      </c>
      <c r="L53" s="126">
        <f>'Consumo Aparente 2018'!M91</f>
        <v>5688.2141364004992</v>
      </c>
      <c r="M53" s="126">
        <f>'Consumo Aparente 2018'!N91</f>
        <v>5355.3710443000009</v>
      </c>
      <c r="N53" s="127">
        <f>'Consumo Aparente 2018'!O91</f>
        <v>0</v>
      </c>
    </row>
    <row r="54" spans="2:14">
      <c r="B54" s="123">
        <v>2017</v>
      </c>
      <c r="C54" s="126">
        <f>'Consumo Aparente 2017'!D91</f>
        <v>5432.7383948956658</v>
      </c>
      <c r="D54" s="126">
        <f>'Consumo Aparente 2017'!E91</f>
        <v>4974.1441879705662</v>
      </c>
      <c r="E54" s="126">
        <f>'Consumo Aparente 2017'!F91</f>
        <v>5982.3124611199664</v>
      </c>
      <c r="F54" s="126">
        <f>'Consumo Aparente 2017'!G91</f>
        <v>5399.3485532312998</v>
      </c>
      <c r="G54" s="126">
        <f>'Consumo Aparente 2017'!H91</f>
        <v>5865.5201555568547</v>
      </c>
      <c r="H54" s="126">
        <f>'Consumo Aparente 2017'!I91</f>
        <v>5926.3186858089011</v>
      </c>
      <c r="I54" s="126">
        <f>'Consumo Aparente 2017'!J91</f>
        <v>5641.8575310679771</v>
      </c>
      <c r="J54" s="126">
        <f>'Consumo Aparente 2017'!K91</f>
        <v>5900.8521601082675</v>
      </c>
      <c r="K54" s="126">
        <f>'Consumo Aparente 2017'!L91</f>
        <v>5708.0457015631191</v>
      </c>
      <c r="L54" s="126">
        <f>'Consumo Aparente 2017'!M91</f>
        <v>5563.2177580914868</v>
      </c>
      <c r="M54" s="126">
        <f>'Consumo Aparente 2017'!N91</f>
        <v>5323.7974542027878</v>
      </c>
      <c r="N54" s="127">
        <f>'Consumo Aparente 2017'!O91</f>
        <v>5231.0699653946695</v>
      </c>
    </row>
    <row r="55" spans="2:14">
      <c r="B55" s="123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28"/>
    </row>
    <row r="56" spans="2:14">
      <c r="B56" s="123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28"/>
    </row>
    <row r="57" spans="2:14">
      <c r="B57" s="129" t="s">
        <v>151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28"/>
    </row>
    <row r="58" spans="2:14">
      <c r="B58" s="123"/>
      <c r="C58" s="124" t="s">
        <v>121</v>
      </c>
      <c r="D58" s="124" t="s">
        <v>122</v>
      </c>
      <c r="E58" s="124" t="s">
        <v>123</v>
      </c>
      <c r="F58" s="124" t="s">
        <v>124</v>
      </c>
      <c r="G58" s="124" t="s">
        <v>123</v>
      </c>
      <c r="H58" s="124" t="s">
        <v>125</v>
      </c>
      <c r="I58" s="124" t="s">
        <v>125</v>
      </c>
      <c r="J58" s="124" t="s">
        <v>124</v>
      </c>
      <c r="K58" s="124" t="s">
        <v>126</v>
      </c>
      <c r="L58" s="124" t="s">
        <v>127</v>
      </c>
      <c r="M58" s="124" t="s">
        <v>128</v>
      </c>
      <c r="N58" s="125" t="s">
        <v>129</v>
      </c>
    </row>
    <row r="59" spans="2:14">
      <c r="B59" s="123">
        <v>2018</v>
      </c>
      <c r="C59" s="126">
        <f>'Consumo Aparente 2018'!D88</f>
        <v>2266.6165133118184</v>
      </c>
      <c r="D59" s="126">
        <f>'Consumo Aparente 2018'!E88</f>
        <v>2248.1051565367998</v>
      </c>
      <c r="E59" s="126">
        <f>'Consumo Aparente 2018'!F88</f>
        <v>2393.4072231149003</v>
      </c>
      <c r="F59" s="126">
        <f>'Consumo Aparente 2018'!G88</f>
        <v>2351.1074547355497</v>
      </c>
      <c r="G59" s="126">
        <f>'Consumo Aparente 2018'!H88</f>
        <v>2427.3665779663997</v>
      </c>
      <c r="H59" s="126">
        <f>'Consumo Aparente 2018'!I88</f>
        <v>2404.7744122166005</v>
      </c>
      <c r="I59" s="126">
        <f>'Consumo Aparente 2018'!J88</f>
        <v>2480.0332212019989</v>
      </c>
      <c r="J59" s="126">
        <f>'Consumo Aparente 2018'!K88</f>
        <v>2432.7374863794107</v>
      </c>
      <c r="K59" s="126">
        <f>'Consumo Aparente 2018'!L88</f>
        <v>2354.4616353951983</v>
      </c>
      <c r="L59" s="126">
        <f>'Consumo Aparente 2018'!M88</f>
        <v>2428.3045214886997</v>
      </c>
      <c r="M59" s="126">
        <f>'Consumo Aparente 2018'!N88</f>
        <v>2241.118443540001</v>
      </c>
      <c r="N59" s="127">
        <f>'Consumo Aparente 2018'!O88</f>
        <v>0</v>
      </c>
    </row>
    <row r="60" spans="2:14">
      <c r="B60" s="123">
        <v>2017</v>
      </c>
      <c r="C60" s="126">
        <f>'Consumo Aparente 2017'!D88</f>
        <v>2255.7785940399654</v>
      </c>
      <c r="D60" s="126">
        <f>'Consumo Aparente 2017'!E88</f>
        <v>2210.6981233709653</v>
      </c>
      <c r="E60" s="126">
        <f>'Consumo Aparente 2017'!F88</f>
        <v>2467.6990093149652</v>
      </c>
      <c r="F60" s="126">
        <f>'Consumo Aparente 2017'!G88</f>
        <v>2319.5491028218962</v>
      </c>
      <c r="G60" s="126">
        <f>'Consumo Aparente 2017'!H88</f>
        <v>2375.6155873882358</v>
      </c>
      <c r="H60" s="126">
        <f>'Consumo Aparente 2017'!I88</f>
        <v>2327.2583384931972</v>
      </c>
      <c r="I60" s="126">
        <f>'Consumo Aparente 2017'!J88</f>
        <v>2239.3319384437477</v>
      </c>
      <c r="J60" s="126">
        <f>'Consumo Aparente 2017'!K88</f>
        <v>2328.1113248527386</v>
      </c>
      <c r="K60" s="126">
        <f>'Consumo Aparente 2017'!L88</f>
        <v>2234.6488451458745</v>
      </c>
      <c r="L60" s="126">
        <f>'Consumo Aparente 2017'!M88</f>
        <v>2324.885589299919</v>
      </c>
      <c r="M60" s="126">
        <f>'Consumo Aparente 2017'!N88</f>
        <v>2238.9359910905191</v>
      </c>
      <c r="N60" s="127">
        <f>'Consumo Aparente 2017'!O88</f>
        <v>2096.246586116416</v>
      </c>
    </row>
    <row r="61" spans="2:14">
      <c r="B61" s="12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28"/>
    </row>
    <row r="62" spans="2:14">
      <c r="B62" s="123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28"/>
    </row>
    <row r="63" spans="2:14">
      <c r="B63" s="129" t="s">
        <v>152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28"/>
    </row>
    <row r="64" spans="2:14">
      <c r="B64" s="123"/>
      <c r="C64" s="137" t="s">
        <v>121</v>
      </c>
      <c r="D64" s="124" t="s">
        <v>122</v>
      </c>
      <c r="E64" s="124" t="s">
        <v>123</v>
      </c>
      <c r="F64" s="124" t="s">
        <v>124</v>
      </c>
      <c r="G64" s="124" t="s">
        <v>123</v>
      </c>
      <c r="H64" s="124" t="s">
        <v>125</v>
      </c>
      <c r="I64" s="124" t="s">
        <v>125</v>
      </c>
      <c r="J64" s="124" t="s">
        <v>124</v>
      </c>
      <c r="K64" s="124" t="s">
        <v>126</v>
      </c>
      <c r="L64" s="124" t="s">
        <v>127</v>
      </c>
      <c r="M64" s="124" t="s">
        <v>128</v>
      </c>
      <c r="N64" s="125" t="s">
        <v>129</v>
      </c>
    </row>
    <row r="65" spans="2:14">
      <c r="B65" s="123">
        <v>2018</v>
      </c>
      <c r="C65" s="126">
        <f>'Consumo Aparente 2018'!D89</f>
        <v>3213.4315107948996</v>
      </c>
      <c r="D65" s="126">
        <f>'Consumo Aparente 2018'!E89</f>
        <v>2845.5256542318994</v>
      </c>
      <c r="E65" s="126">
        <f>'Consumo Aparente 2018'!F89</f>
        <v>3256.5515680312001</v>
      </c>
      <c r="F65" s="126">
        <f>'Consumo Aparente 2018'!G89</f>
        <v>3375.93488104875</v>
      </c>
      <c r="G65" s="126">
        <f>'Consumo Aparente 2018'!H89</f>
        <v>3420.8834135005</v>
      </c>
      <c r="H65" s="126">
        <f>'Consumo Aparente 2018'!I89</f>
        <v>3104.2578321619999</v>
      </c>
      <c r="I65" s="126">
        <f>'Consumo Aparente 2018'!J89</f>
        <v>3066.9685029908001</v>
      </c>
      <c r="J65" s="126">
        <f>'Consumo Aparente 2018'!K89</f>
        <v>3043.1372256478198</v>
      </c>
      <c r="K65" s="126">
        <f>'Consumo Aparente 2018'!L89</f>
        <v>3232.1273613268004</v>
      </c>
      <c r="L65" s="126">
        <f>'Consumo Aparente 2018'!M89</f>
        <v>3212.4558999979004</v>
      </c>
      <c r="M65" s="126">
        <f>'Consumo Aparente 2018'!N89</f>
        <v>3105.5624715100003</v>
      </c>
      <c r="N65" s="127">
        <f>'Consumo Aparente 2018'!O89</f>
        <v>0</v>
      </c>
    </row>
    <row r="66" spans="2:14">
      <c r="B66" s="123">
        <v>2017</v>
      </c>
      <c r="C66" s="126">
        <f>'Consumo Aparente 2017'!D89</f>
        <v>3218.1682067413303</v>
      </c>
      <c r="D66" s="126">
        <f>'Consumo Aparente 2017'!E89</f>
        <v>2847.918904158631</v>
      </c>
      <c r="E66" s="126">
        <f>'Consumo Aparente 2017'!F89</f>
        <v>3400.2257374342303</v>
      </c>
      <c r="F66" s="126">
        <f>'Consumo Aparente 2017'!G89</f>
        <v>3333.4462642013268</v>
      </c>
      <c r="G66" s="126">
        <f>'Consumo Aparente 2017'!H89</f>
        <v>3342.7937151876422</v>
      </c>
      <c r="H66" s="126">
        <f>'Consumo Aparente 2017'!I89</f>
        <v>3302.3139995858264</v>
      </c>
      <c r="I66" s="126">
        <f>'Consumo Aparente 2017'!J89</f>
        <v>3373.2554081278086</v>
      </c>
      <c r="J66" s="126">
        <f>'Consumo Aparente 2017'!K89</f>
        <v>3302.5308995167074</v>
      </c>
      <c r="K66" s="126">
        <f>'Consumo Aparente 2017'!L89</f>
        <v>3200.0067485941236</v>
      </c>
      <c r="L66" s="126">
        <f>'Consumo Aparente 2017'!M89</f>
        <v>3230.3540077692005</v>
      </c>
      <c r="M66" s="126">
        <f>'Consumo Aparente 2017'!N89</f>
        <v>3017.9296900744002</v>
      </c>
      <c r="N66" s="127">
        <f>'Consumo Aparente 2017'!O89</f>
        <v>2826.4384858243848</v>
      </c>
    </row>
    <row r="67" spans="2:14">
      <c r="B67" s="123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28"/>
    </row>
    <row r="68" spans="2:14">
      <c r="B68" s="123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28"/>
    </row>
    <row r="69" spans="2:14">
      <c r="B69" s="129" t="s">
        <v>153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28"/>
    </row>
    <row r="70" spans="2:14">
      <c r="B70" s="123"/>
      <c r="C70" s="124" t="s">
        <v>121</v>
      </c>
      <c r="D70" s="124" t="s">
        <v>122</v>
      </c>
      <c r="E70" s="124" t="s">
        <v>123</v>
      </c>
      <c r="F70" s="124" t="s">
        <v>124</v>
      </c>
      <c r="G70" s="124" t="s">
        <v>123</v>
      </c>
      <c r="H70" s="124" t="s">
        <v>125</v>
      </c>
      <c r="I70" s="124" t="s">
        <v>125</v>
      </c>
      <c r="J70" s="124" t="s">
        <v>124</v>
      </c>
      <c r="K70" s="124" t="s">
        <v>126</v>
      </c>
      <c r="L70" s="124" t="s">
        <v>127</v>
      </c>
      <c r="M70" s="124" t="s">
        <v>128</v>
      </c>
      <c r="N70" s="125" t="s">
        <v>129</v>
      </c>
    </row>
    <row r="71" spans="2:14">
      <c r="B71" s="123">
        <v>2018</v>
      </c>
      <c r="C71" s="126">
        <f>'Consumo Aparente 2018'!D90</f>
        <v>80.947898894600002</v>
      </c>
      <c r="D71" s="126">
        <f>'Consumo Aparente 2018'!E90</f>
        <v>33.722969984499962</v>
      </c>
      <c r="E71" s="126">
        <f>'Consumo Aparente 2018'!F90</f>
        <v>99.510012176200007</v>
      </c>
      <c r="F71" s="126">
        <f>'Consumo Aparente 2018'!G90</f>
        <v>99.384560713099987</v>
      </c>
      <c r="G71" s="126">
        <f>'Consumo Aparente 2018'!H90</f>
        <v>66.189956493400004</v>
      </c>
      <c r="H71" s="126">
        <f>'Consumo Aparente 2018'!I90</f>
        <v>75.361295556499996</v>
      </c>
      <c r="I71" s="126">
        <f>'Consumo Aparente 2018'!J90</f>
        <v>87.954253311999977</v>
      </c>
      <c r="J71" s="126">
        <f>'Consumo Aparente 2018'!K90</f>
        <v>82.037485012119987</v>
      </c>
      <c r="K71" s="126">
        <f>'Consumo Aparente 2018'!L90</f>
        <v>69.941900881300029</v>
      </c>
      <c r="L71" s="126">
        <f>'Consumo Aparente 2018'!M90</f>
        <v>114.5497149139</v>
      </c>
      <c r="M71" s="126">
        <f>'Consumo Aparente 2018'!N90</f>
        <v>83.821129249999998</v>
      </c>
      <c r="N71" s="127">
        <f>'Consumo Aparente 2018'!O90</f>
        <v>0</v>
      </c>
    </row>
    <row r="72" spans="2:14">
      <c r="B72" s="130">
        <v>2017</v>
      </c>
      <c r="C72" s="131">
        <f>'Consumo Aparente 2017'!D90</f>
        <v>61.031594114370435</v>
      </c>
      <c r="D72" s="131">
        <f>'Consumo Aparente 2017'!E90</f>
        <v>23.637160440970423</v>
      </c>
      <c r="E72" s="131">
        <f>'Consumo Aparente 2017'!F90</f>
        <v>111.90471437077045</v>
      </c>
      <c r="F72" s="131">
        <f>'Consumo Aparente 2017'!G90</f>
        <v>81.680186208076861</v>
      </c>
      <c r="G72" s="131">
        <f>'Consumo Aparente 2017'!H90</f>
        <v>81.045852980976875</v>
      </c>
      <c r="H72" s="131">
        <f>'Consumo Aparente 2017'!I90</f>
        <v>93.503347729876879</v>
      </c>
      <c r="I72" s="131">
        <f>'Consumo Aparente 2017'!J90</f>
        <v>58.299184496420118</v>
      </c>
      <c r="J72" s="131">
        <f>'Consumo Aparente 2017'!K90</f>
        <v>101.02093573882013</v>
      </c>
      <c r="K72" s="131">
        <f>'Consumo Aparente 2017'!L90</f>
        <v>71.582107823120111</v>
      </c>
      <c r="L72" s="131">
        <f>'Consumo Aparente 2017'!M90</f>
        <v>91.711161022368429</v>
      </c>
      <c r="M72" s="131">
        <f>'Consumo Aparente 2017'!N90</f>
        <v>71.18177303786851</v>
      </c>
      <c r="N72" s="132">
        <f>'Consumo Aparente 2017'!O90</f>
        <v>72.570893453868464</v>
      </c>
    </row>
    <row r="75" spans="2:14">
      <c r="B75" s="118"/>
    </row>
    <row r="76" spans="2:14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2:14"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2:14"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92"/>
  <sheetViews>
    <sheetView zoomScale="80" zoomScaleNormal="80" zoomScaleSheetLayoutView="70" workbookViewId="0">
      <pane xSplit="3" ySplit="2" topLeftCell="H60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18" s="8" customFormat="1" ht="38.25" customHeight="1" thickBot="1">
      <c r="B1" s="22" t="s">
        <v>72</v>
      </c>
      <c r="O1" s="9"/>
      <c r="P1" s="87" t="s">
        <v>111</v>
      </c>
    </row>
    <row r="2" spans="2:18" ht="30" customHeight="1" thickTop="1">
      <c r="B2" s="33" t="s">
        <v>36</v>
      </c>
      <c r="C2" s="21" t="s">
        <v>23</v>
      </c>
      <c r="D2" s="51" t="s">
        <v>27</v>
      </c>
      <c r="E2" s="51" t="s">
        <v>28</v>
      </c>
      <c r="F2" s="51" t="s">
        <v>26</v>
      </c>
      <c r="G2" s="51" t="s">
        <v>22</v>
      </c>
      <c r="H2" s="51" t="s">
        <v>29</v>
      </c>
      <c r="I2" s="51" t="s">
        <v>30</v>
      </c>
      <c r="J2" s="51" t="s">
        <v>31</v>
      </c>
      <c r="K2" s="51" t="s">
        <v>32</v>
      </c>
      <c r="L2" s="51" t="s">
        <v>33</v>
      </c>
      <c r="M2" s="51" t="s">
        <v>24</v>
      </c>
      <c r="N2" s="51" t="s">
        <v>34</v>
      </c>
      <c r="O2" s="51" t="s">
        <v>35</v>
      </c>
      <c r="P2" s="51" t="s">
        <v>25</v>
      </c>
    </row>
    <row r="3" spans="2:18" ht="18" customHeight="1" thickBot="1">
      <c r="B3" s="259" t="s">
        <v>0</v>
      </c>
      <c r="C3" s="29" t="s">
        <v>65</v>
      </c>
      <c r="D3" s="34">
        <v>7.7469031599999996</v>
      </c>
      <c r="E3" s="34">
        <v>7.5401379099999994</v>
      </c>
      <c r="F3" s="34">
        <v>20.24899104</v>
      </c>
      <c r="G3" s="34">
        <v>12.684525840000003</v>
      </c>
      <c r="H3" s="34">
        <v>13.43800235</v>
      </c>
      <c r="I3" s="34">
        <v>15.335269919999998</v>
      </c>
      <c r="J3" s="34">
        <v>9.4852256000000015</v>
      </c>
      <c r="K3" s="34">
        <v>15.78098565</v>
      </c>
      <c r="L3" s="34">
        <v>24.401146749999999</v>
      </c>
      <c r="M3" s="34">
        <v>10.411306249999999</v>
      </c>
      <c r="N3" s="34">
        <v>7.6380762999999998</v>
      </c>
      <c r="O3" s="34">
        <v>6.5836259000000004</v>
      </c>
      <c r="P3" s="34">
        <v>151.29419666999999</v>
      </c>
      <c r="R3" s="14"/>
    </row>
    <row r="4" spans="2:18" ht="18" customHeight="1" thickTop="1" thickBot="1">
      <c r="B4" s="260"/>
      <c r="C4" s="29" t="s">
        <v>59</v>
      </c>
      <c r="D4" s="34">
        <v>2.9391582200000004</v>
      </c>
      <c r="E4" s="34">
        <v>13.982589099999998</v>
      </c>
      <c r="F4" s="34">
        <v>8.5812970200000009</v>
      </c>
      <c r="G4" s="34">
        <v>11.106203499999999</v>
      </c>
      <c r="H4" s="34">
        <v>13.711659389999999</v>
      </c>
      <c r="I4" s="34">
        <v>24.70523562</v>
      </c>
      <c r="J4" s="34">
        <v>13.182462950000001</v>
      </c>
      <c r="K4" s="34">
        <v>10.078890110000001</v>
      </c>
      <c r="L4" s="34">
        <v>25.83887588</v>
      </c>
      <c r="M4" s="34">
        <v>21.99941587</v>
      </c>
      <c r="N4" s="34">
        <v>21.838136430000002</v>
      </c>
      <c r="O4" s="34">
        <v>8.8164579099999987</v>
      </c>
      <c r="P4" s="34">
        <v>176.780382</v>
      </c>
      <c r="R4" s="14"/>
    </row>
    <row r="5" spans="2:18" ht="18" customHeight="1" thickTop="1" thickBot="1">
      <c r="B5" s="260"/>
      <c r="C5" s="29" t="s">
        <v>60</v>
      </c>
      <c r="D5" s="34">
        <v>39.703409749999999</v>
      </c>
      <c r="E5" s="34">
        <v>36.519171990000004</v>
      </c>
      <c r="F5" s="34">
        <v>24.121988179999999</v>
      </c>
      <c r="G5" s="34">
        <v>19.345698499999997</v>
      </c>
      <c r="H5" s="34">
        <v>40.894994229999995</v>
      </c>
      <c r="I5" s="34">
        <v>45.843272899999995</v>
      </c>
      <c r="J5" s="34">
        <v>30.341047960000001</v>
      </c>
      <c r="K5" s="34">
        <v>32.953584569999997</v>
      </c>
      <c r="L5" s="34">
        <v>43.526652310000003</v>
      </c>
      <c r="M5" s="34">
        <v>42.801984619999999</v>
      </c>
      <c r="N5" s="34">
        <v>56.858854729999997</v>
      </c>
      <c r="O5" s="34">
        <v>48.641174669999998</v>
      </c>
      <c r="P5" s="34">
        <v>461.55183440999997</v>
      </c>
      <c r="R5" s="14"/>
    </row>
    <row r="6" spans="2:18" ht="18" customHeight="1" thickTop="1" thickBot="1">
      <c r="B6" s="260"/>
      <c r="C6" s="29" t="s">
        <v>139</v>
      </c>
      <c r="D6" s="34">
        <v>50.389471129999997</v>
      </c>
      <c r="E6" s="34">
        <v>58.041899000000001</v>
      </c>
      <c r="F6" s="34">
        <v>52.952276240000003</v>
      </c>
      <c r="G6" s="34">
        <v>43.136427839999996</v>
      </c>
      <c r="H6" s="34">
        <v>68.044655969999994</v>
      </c>
      <c r="I6" s="34">
        <v>85.883778439999986</v>
      </c>
      <c r="J6" s="34">
        <v>53.008736510000006</v>
      </c>
      <c r="K6" s="34">
        <v>58.813460329999998</v>
      </c>
      <c r="L6" s="34">
        <v>93.766674940000001</v>
      </c>
      <c r="M6" s="34">
        <v>75.212706740000002</v>
      </c>
      <c r="N6" s="34">
        <v>86.335067460000005</v>
      </c>
      <c r="O6" s="34">
        <v>64.041258479999996</v>
      </c>
      <c r="P6" s="34">
        <v>789.62641308000002</v>
      </c>
      <c r="R6" s="46"/>
    </row>
    <row r="7" spans="2:18" ht="18" customHeight="1" thickTop="1" thickBot="1">
      <c r="B7" s="260"/>
      <c r="C7" s="32" t="s">
        <v>40</v>
      </c>
      <c r="D7" s="35">
        <v>-0.40621305639279032</v>
      </c>
      <c r="E7" s="35">
        <v>-2.6861893501679002E-2</v>
      </c>
      <c r="F7" s="35">
        <v>0.35406840046365301</v>
      </c>
      <c r="G7" s="35">
        <v>-0.24455475168993634</v>
      </c>
      <c r="H7" s="35">
        <v>-0.31745281424281141</v>
      </c>
      <c r="I7" s="35">
        <v>0.43246831744069353</v>
      </c>
      <c r="J7" s="35">
        <v>-0.29548448358909046</v>
      </c>
      <c r="K7" s="35">
        <v>-0.32800267690888646</v>
      </c>
      <c r="L7" s="35">
        <v>0.15755231601703595</v>
      </c>
      <c r="M7" s="35">
        <v>5.3839631947117016E-2</v>
      </c>
      <c r="N7" s="35">
        <v>1.155376747498525E-2</v>
      </c>
      <c r="O7" s="35">
        <v>-7.771643267318612E-2</v>
      </c>
      <c r="P7" s="35">
        <v>-9.2677734116614827E-2</v>
      </c>
      <c r="R7" s="14"/>
    </row>
    <row r="8" spans="2:18" ht="18" customHeight="1" thickTop="1" thickBot="1">
      <c r="B8" s="260" t="s">
        <v>78</v>
      </c>
      <c r="C8" s="31" t="s">
        <v>65</v>
      </c>
      <c r="D8" s="34">
        <v>5.6039999999999999E-5</v>
      </c>
      <c r="E8" s="34">
        <v>1.3199999999999999E-5</v>
      </c>
      <c r="F8" s="34">
        <v>1.0499999999999999E-5</v>
      </c>
      <c r="G8" s="34">
        <v>8.5000000000000006E-5</v>
      </c>
      <c r="H8" s="34">
        <v>1.9999999999999999E-6</v>
      </c>
      <c r="I8" s="34">
        <v>0.22503000000000001</v>
      </c>
      <c r="J8" s="34">
        <v>0</v>
      </c>
      <c r="K8" s="34">
        <v>0</v>
      </c>
      <c r="L8" s="34">
        <v>2.4299E-4</v>
      </c>
      <c r="M8" s="34">
        <v>1.1599999999999999E-6</v>
      </c>
      <c r="N8" s="34">
        <v>5.22E-6</v>
      </c>
      <c r="O8" s="34">
        <v>1.45E-4</v>
      </c>
      <c r="P8" s="34">
        <v>0.22559111000000001</v>
      </c>
      <c r="R8" s="14"/>
    </row>
    <row r="9" spans="2:18" ht="18" customHeight="1" thickTop="1" thickBot="1">
      <c r="B9" s="260"/>
      <c r="C9" s="29" t="s">
        <v>59</v>
      </c>
      <c r="D9" s="34">
        <v>1.66E-3</v>
      </c>
      <c r="E9" s="34">
        <v>1.642E-3</v>
      </c>
      <c r="F9" s="34">
        <v>1.3305000000000001E-3</v>
      </c>
      <c r="G9" s="34">
        <v>7.8899999999999994E-3</v>
      </c>
      <c r="H9" s="34">
        <v>0</v>
      </c>
      <c r="I9" s="34">
        <v>6.8999999999999997E-4</v>
      </c>
      <c r="J9" s="34">
        <v>0</v>
      </c>
      <c r="K9" s="34">
        <v>2.745E-4</v>
      </c>
      <c r="L9" s="34">
        <v>1.1355E-3</v>
      </c>
      <c r="M9" s="34">
        <v>0</v>
      </c>
      <c r="N9" s="34">
        <v>2.5799999999999999E-6</v>
      </c>
      <c r="O9" s="34">
        <v>0</v>
      </c>
      <c r="P9" s="34">
        <v>1.4625079999999999E-2</v>
      </c>
      <c r="R9" s="14"/>
    </row>
    <row r="10" spans="2:18" ht="18" customHeight="1" thickTop="1" thickBot="1">
      <c r="B10" s="260"/>
      <c r="C10" s="29" t="s">
        <v>60</v>
      </c>
      <c r="D10" s="34">
        <v>0</v>
      </c>
      <c r="E10" s="34">
        <v>2.5167490000000001E-2</v>
      </c>
      <c r="F10" s="34">
        <v>2.2310699999999999E-2</v>
      </c>
      <c r="G10" s="34">
        <v>6.7500000000000001E-5</v>
      </c>
      <c r="H10" s="34">
        <v>3.2299999999999998E-3</v>
      </c>
      <c r="I10" s="34">
        <v>0</v>
      </c>
      <c r="J10" s="34">
        <v>0</v>
      </c>
      <c r="K10" s="34">
        <v>2.6900000000000001E-6</v>
      </c>
      <c r="L10" s="34">
        <v>2.3349999999999998E-3</v>
      </c>
      <c r="M10" s="34">
        <v>0</v>
      </c>
      <c r="N10" s="34">
        <v>1.6930290000000001E-2</v>
      </c>
      <c r="O10" s="34">
        <v>1.1000000000000001E-3</v>
      </c>
      <c r="P10" s="34">
        <v>7.1143670000000006E-2</v>
      </c>
      <c r="R10" s="14"/>
    </row>
    <row r="11" spans="2:18" ht="18" customHeight="1" thickTop="1" thickBot="1">
      <c r="B11" s="260"/>
      <c r="C11" s="29" t="s">
        <v>139</v>
      </c>
      <c r="D11" s="34">
        <v>1.7160400000000001E-3</v>
      </c>
      <c r="E11" s="34">
        <v>2.682269E-2</v>
      </c>
      <c r="F11" s="34">
        <v>2.3651699999999998E-2</v>
      </c>
      <c r="G11" s="34">
        <v>8.0424999999999993E-3</v>
      </c>
      <c r="H11" s="34">
        <v>3.2319999999999996E-3</v>
      </c>
      <c r="I11" s="34">
        <v>0.22572</v>
      </c>
      <c r="J11" s="34">
        <v>0</v>
      </c>
      <c r="K11" s="34">
        <v>2.7719000000000002E-4</v>
      </c>
      <c r="L11" s="34">
        <v>3.7134899999999998E-3</v>
      </c>
      <c r="M11" s="34">
        <v>1.1599999999999999E-6</v>
      </c>
      <c r="N11" s="34">
        <v>1.6938089999999999E-2</v>
      </c>
      <c r="O11" s="34">
        <v>1.245E-3</v>
      </c>
      <c r="P11" s="34">
        <v>0.31135985999999999</v>
      </c>
      <c r="R11" s="46"/>
    </row>
    <row r="12" spans="2:18" ht="18" customHeight="1" thickTop="1" thickBot="1">
      <c r="B12" s="260"/>
      <c r="C12" s="32" t="s">
        <v>40</v>
      </c>
      <c r="D12" s="35">
        <v>1.3386938508504145</v>
      </c>
      <c r="E12" s="35">
        <v>4.5441690781314596</v>
      </c>
      <c r="F12" s="35">
        <v>9.343610600892152</v>
      </c>
      <c r="G12" s="35">
        <v>0.28269128328139304</v>
      </c>
      <c r="H12" s="35">
        <v>0.33004115226337438</v>
      </c>
      <c r="I12" s="35">
        <v>32244.714285714286</v>
      </c>
      <c r="J12" s="35">
        <v>-1</v>
      </c>
      <c r="K12" s="35">
        <v>-0.99840199469618351</v>
      </c>
      <c r="L12" s="35">
        <v>4.1858591218858221</v>
      </c>
      <c r="M12" s="35">
        <v>-0.99991737891737886</v>
      </c>
      <c r="N12" s="35">
        <v>2.6713390844459859</v>
      </c>
      <c r="O12" s="35">
        <v>-0.77071823204419876</v>
      </c>
      <c r="P12" s="35">
        <v>0.35852827898570566</v>
      </c>
      <c r="R12" s="14"/>
    </row>
    <row r="13" spans="2:18" ht="18" customHeight="1" thickTop="1" thickBot="1">
      <c r="B13" s="260" t="s">
        <v>42</v>
      </c>
      <c r="C13" s="31" t="s">
        <v>65</v>
      </c>
      <c r="D13" s="34">
        <v>141.81700000000001</v>
      </c>
      <c r="E13" s="34">
        <v>91.536000000000001</v>
      </c>
      <c r="F13" s="34">
        <v>98.475999999999999</v>
      </c>
      <c r="G13" s="34">
        <v>109.706</v>
      </c>
      <c r="H13" s="34">
        <v>96.221999999999994</v>
      </c>
      <c r="I13" s="34">
        <v>93.906999999999996</v>
      </c>
      <c r="J13" s="34">
        <v>121.444</v>
      </c>
      <c r="K13" s="34">
        <v>106.998</v>
      </c>
      <c r="L13" s="34">
        <v>92.519000000000005</v>
      </c>
      <c r="M13" s="34">
        <v>95.152000000000001</v>
      </c>
      <c r="N13" s="34">
        <v>92.587999999999994</v>
      </c>
      <c r="O13" s="34">
        <v>128.92599999999999</v>
      </c>
      <c r="P13" s="34">
        <v>1269.2909999999999</v>
      </c>
      <c r="R13" s="14"/>
    </row>
    <row r="14" spans="2:18" ht="18" customHeight="1" thickTop="1" thickBot="1">
      <c r="B14" s="260"/>
      <c r="C14" s="29" t="s">
        <v>59</v>
      </c>
      <c r="D14" s="34">
        <v>201.21199999999999</v>
      </c>
      <c r="E14" s="34">
        <v>100.392</v>
      </c>
      <c r="F14" s="34">
        <v>76.697999999999993</v>
      </c>
      <c r="G14" s="34">
        <v>108.131</v>
      </c>
      <c r="H14" s="34">
        <v>50.488999999999997</v>
      </c>
      <c r="I14" s="34">
        <v>166.40899999999999</v>
      </c>
      <c r="J14" s="34">
        <v>126.133</v>
      </c>
      <c r="K14" s="34">
        <v>126.23399999999999</v>
      </c>
      <c r="L14" s="34">
        <v>238.13499999999999</v>
      </c>
      <c r="M14" s="34">
        <v>310.74200000000002</v>
      </c>
      <c r="N14" s="34">
        <v>286.42399999999998</v>
      </c>
      <c r="O14" s="34">
        <v>328.64800000000002</v>
      </c>
      <c r="P14" s="34">
        <v>2119.6469999999999</v>
      </c>
      <c r="R14" s="14"/>
    </row>
    <row r="15" spans="2:18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v>0</v>
      </c>
      <c r="R15" s="14"/>
    </row>
    <row r="16" spans="2:18" ht="18" customHeight="1" thickTop="1" thickBot="1">
      <c r="B16" s="260"/>
      <c r="C16" s="29" t="s">
        <v>139</v>
      </c>
      <c r="D16" s="34">
        <v>343.029</v>
      </c>
      <c r="E16" s="34">
        <v>191.928</v>
      </c>
      <c r="F16" s="34">
        <v>175.17399999999998</v>
      </c>
      <c r="G16" s="34">
        <v>217.83699999999999</v>
      </c>
      <c r="H16" s="34">
        <v>146.71099999999998</v>
      </c>
      <c r="I16" s="34">
        <v>260.31599999999997</v>
      </c>
      <c r="J16" s="34">
        <v>247.577</v>
      </c>
      <c r="K16" s="34">
        <v>233.232</v>
      </c>
      <c r="L16" s="34">
        <v>330.654</v>
      </c>
      <c r="M16" s="34">
        <v>405.89400000000001</v>
      </c>
      <c r="N16" s="34">
        <v>379.01199999999994</v>
      </c>
      <c r="O16" s="34">
        <v>457.57400000000001</v>
      </c>
      <c r="P16" s="34">
        <v>3388.9380000000001</v>
      </c>
      <c r="R16" s="46"/>
    </row>
    <row r="17" spans="2:18" ht="18" customHeight="1" thickTop="1" thickBot="1">
      <c r="B17" s="260"/>
      <c r="C17" s="32" t="s">
        <v>40</v>
      </c>
      <c r="D17" s="35">
        <v>3.6341389728096668E-2</v>
      </c>
      <c r="E17" s="35">
        <v>-0.39340075853350187</v>
      </c>
      <c r="F17" s="35">
        <v>-0.16224772835963674</v>
      </c>
      <c r="G17" s="35">
        <v>-0.25576699692517924</v>
      </c>
      <c r="H17" s="35">
        <v>-0.42194247438928301</v>
      </c>
      <c r="I17" s="35">
        <v>0.16733632286995503</v>
      </c>
      <c r="J17" s="35">
        <v>0.23172636815920397</v>
      </c>
      <c r="K17" s="35">
        <v>0.21983263598326402</v>
      </c>
      <c r="L17" s="35">
        <v>0.66324949698189073</v>
      </c>
      <c r="M17" s="35">
        <v>1.1521420996818661</v>
      </c>
      <c r="N17" s="35">
        <v>1.0085426603073666</v>
      </c>
      <c r="O17" s="35">
        <v>1.0528218932256619</v>
      </c>
      <c r="P17" s="35">
        <v>0.20294547777935551</v>
      </c>
      <c r="R17" s="14"/>
    </row>
    <row r="18" spans="2:18" ht="18" customHeight="1" thickTop="1" thickBot="1">
      <c r="B18" s="260" t="s">
        <v>1</v>
      </c>
      <c r="C18" s="31" t="s">
        <v>65</v>
      </c>
      <c r="D18" s="34">
        <v>0.32746445000000002</v>
      </c>
      <c r="E18" s="34">
        <v>9.5067073700000009</v>
      </c>
      <c r="F18" s="34">
        <v>3.0305949999999999</v>
      </c>
      <c r="G18" s="34">
        <v>5.9351387600000001</v>
      </c>
      <c r="H18" s="34">
        <v>1.9027327700000001</v>
      </c>
      <c r="I18" s="34">
        <v>1.3488908099999999</v>
      </c>
      <c r="J18" s="34">
        <v>1.99077796</v>
      </c>
      <c r="K18" s="34">
        <v>3.0975194500000001</v>
      </c>
      <c r="L18" s="34">
        <v>19.020806540000002</v>
      </c>
      <c r="M18" s="34">
        <v>13.183735770000004</v>
      </c>
      <c r="N18" s="34">
        <v>7.2298829500000013</v>
      </c>
      <c r="O18" s="34">
        <v>1.2016410999999998</v>
      </c>
      <c r="P18" s="34">
        <v>67.775892930000012</v>
      </c>
      <c r="R18" s="45"/>
    </row>
    <row r="19" spans="2:18" ht="18" customHeight="1" thickTop="1" thickBot="1">
      <c r="B19" s="260"/>
      <c r="C19" s="29" t="s">
        <v>59</v>
      </c>
      <c r="D19" s="34">
        <v>0.54528570000000021</v>
      </c>
      <c r="E19" s="34">
        <v>0.39304230999999989</v>
      </c>
      <c r="F19" s="34">
        <v>0.86297960000000018</v>
      </c>
      <c r="G19" s="34">
        <v>0.9663021100000001</v>
      </c>
      <c r="H19" s="34">
        <v>1.11519345</v>
      </c>
      <c r="I19" s="34">
        <v>1.0907354699999998</v>
      </c>
      <c r="J19" s="34">
        <v>1.2366038899999998</v>
      </c>
      <c r="K19" s="34">
        <v>1.17284605</v>
      </c>
      <c r="L19" s="34">
        <v>0.90447194999999991</v>
      </c>
      <c r="M19" s="34">
        <v>1.50173348</v>
      </c>
      <c r="N19" s="34">
        <v>0.99266127999999998</v>
      </c>
      <c r="O19" s="34">
        <v>0.57973328000000002</v>
      </c>
      <c r="P19" s="34">
        <v>11.361588569999999</v>
      </c>
      <c r="R19" s="14"/>
    </row>
    <row r="20" spans="2:18" ht="18" customHeight="1" thickTop="1" thickBot="1">
      <c r="B20" s="260"/>
      <c r="C20" s="29" t="s">
        <v>60</v>
      </c>
      <c r="D20" s="34">
        <v>0.30726548999999992</v>
      </c>
      <c r="E20" s="34">
        <v>0.22250708000000002</v>
      </c>
      <c r="F20" s="34">
        <v>0.33907865000000004</v>
      </c>
      <c r="G20" s="34">
        <v>0.13062309999999999</v>
      </c>
      <c r="H20" s="34">
        <v>0.18095546999999998</v>
      </c>
      <c r="I20" s="34">
        <v>0.21492727999999997</v>
      </c>
      <c r="J20" s="34">
        <v>0.22507358999999996</v>
      </c>
      <c r="K20" s="34">
        <v>0.18520404000000001</v>
      </c>
      <c r="L20" s="34">
        <v>0.12688862000000001</v>
      </c>
      <c r="M20" s="34">
        <v>0.44695326000000002</v>
      </c>
      <c r="N20" s="34">
        <v>7.376176999999999E-2</v>
      </c>
      <c r="O20" s="34">
        <v>6.9430990000000012E-2</v>
      </c>
      <c r="P20" s="34">
        <v>2.5226693399999998</v>
      </c>
      <c r="R20" s="14"/>
    </row>
    <row r="21" spans="2:18" ht="18" customHeight="1" thickTop="1" thickBot="1">
      <c r="B21" s="260"/>
      <c r="C21" s="29" t="s">
        <v>139</v>
      </c>
      <c r="D21" s="34">
        <v>1.1800156400000001</v>
      </c>
      <c r="E21" s="34">
        <v>10.122256760000001</v>
      </c>
      <c r="F21" s="34">
        <v>4.2326532500000003</v>
      </c>
      <c r="G21" s="34">
        <v>7.0320639700000003</v>
      </c>
      <c r="H21" s="34">
        <v>3.1988816899999999</v>
      </c>
      <c r="I21" s="34">
        <v>2.6545535599999996</v>
      </c>
      <c r="J21" s="34">
        <v>3.4524554399999996</v>
      </c>
      <c r="K21" s="34">
        <v>4.4555695400000008</v>
      </c>
      <c r="L21" s="34">
        <v>20.052167110000003</v>
      </c>
      <c r="M21" s="34">
        <v>15.132422510000005</v>
      </c>
      <c r="N21" s="34">
        <v>8.2963060000000013</v>
      </c>
      <c r="O21" s="34">
        <v>1.85080537</v>
      </c>
      <c r="P21" s="34">
        <v>81.66015084</v>
      </c>
      <c r="R21" s="14"/>
    </row>
    <row r="22" spans="2:18" ht="18" customHeight="1" thickTop="1" thickBot="1">
      <c r="B22" s="260"/>
      <c r="C22" s="32" t="s">
        <v>40</v>
      </c>
      <c r="D22" s="35">
        <v>9.5437695221468111E-2</v>
      </c>
      <c r="E22" s="35">
        <v>5.4922894441412247</v>
      </c>
      <c r="F22" s="35">
        <v>1.9443474551182047</v>
      </c>
      <c r="G22" s="35">
        <v>3.4298021894614701</v>
      </c>
      <c r="H22" s="35">
        <v>1.2919105511965014</v>
      </c>
      <c r="I22" s="35">
        <v>-0.60407530423174949</v>
      </c>
      <c r="J22" s="35">
        <v>-0.11994622020715377</v>
      </c>
      <c r="K22" s="35">
        <v>0.10488230185366686</v>
      </c>
      <c r="L22" s="35">
        <v>3.6683862685130095</v>
      </c>
      <c r="M22" s="35">
        <v>4.1162337028273193</v>
      </c>
      <c r="N22" s="35">
        <v>3.711899899901379</v>
      </c>
      <c r="O22" s="35">
        <v>0.53732178357382909</v>
      </c>
      <c r="P22" s="35">
        <v>1.5570708848829191</v>
      </c>
      <c r="R22" s="14"/>
    </row>
    <row r="23" spans="2:18" ht="18" customHeight="1" thickTop="1" thickBot="1">
      <c r="B23" s="260" t="s">
        <v>2</v>
      </c>
      <c r="C23" s="31" t="s">
        <v>65</v>
      </c>
      <c r="D23" s="34">
        <v>0.19592300000000001</v>
      </c>
      <c r="E23" s="34">
        <v>0.17685675000000003</v>
      </c>
      <c r="F23" s="34">
        <v>7.1836599999999997E-3</v>
      </c>
      <c r="G23" s="34">
        <v>5.6984610000000005E-2</v>
      </c>
      <c r="H23" s="34">
        <v>9.7118609999999994E-2</v>
      </c>
      <c r="I23" s="34">
        <v>0.20818999999999999</v>
      </c>
      <c r="J23" s="34">
        <v>0.10537735999999999</v>
      </c>
      <c r="K23" s="34">
        <v>0.12008100000000001</v>
      </c>
      <c r="L23" s="34">
        <v>0.11361157</v>
      </c>
      <c r="M23" s="34">
        <v>6.2423580000000006E-2</v>
      </c>
      <c r="N23" s="34">
        <v>9.9240999999999996E-2</v>
      </c>
      <c r="O23" s="34">
        <v>0.21378861000000002</v>
      </c>
      <c r="P23" s="34">
        <f>+SUM(D23:O23)</f>
        <v>1.4567797499999997</v>
      </c>
      <c r="R23" s="14"/>
    </row>
    <row r="24" spans="2:18" ht="18" customHeight="1" thickTop="1" thickBot="1">
      <c r="B24" s="260"/>
      <c r="C24" s="29" t="s">
        <v>59</v>
      </c>
      <c r="D24" s="34">
        <v>5.530406440000001</v>
      </c>
      <c r="E24" s="34">
        <v>5.0519551300000014</v>
      </c>
      <c r="F24" s="34">
        <v>6.8649519499999991</v>
      </c>
      <c r="G24" s="34">
        <v>6.2105150599999996</v>
      </c>
      <c r="H24" s="34">
        <v>7.0553071700000007</v>
      </c>
      <c r="I24" s="34">
        <v>6.6529404300000001</v>
      </c>
      <c r="J24" s="34">
        <v>6.1642420999999992</v>
      </c>
      <c r="K24" s="34">
        <v>8.8499389100000005</v>
      </c>
      <c r="L24" s="34">
        <v>4.1051637300000001</v>
      </c>
      <c r="M24" s="34">
        <v>4.9187106900000002</v>
      </c>
      <c r="N24" s="34">
        <v>7.0582412199999993</v>
      </c>
      <c r="O24" s="34">
        <v>6.5046380500000005</v>
      </c>
      <c r="P24" s="34">
        <f>+SUM(D24:O24)</f>
        <v>74.967010879999989</v>
      </c>
      <c r="R24" s="14"/>
    </row>
    <row r="25" spans="2:18" ht="18" customHeight="1" thickTop="1" thickBot="1">
      <c r="B25" s="260"/>
      <c r="C25" s="29" t="s">
        <v>60</v>
      </c>
      <c r="D25" s="34">
        <v>0.21624836999999997</v>
      </c>
      <c r="E25" s="34">
        <v>0.21993533000000001</v>
      </c>
      <c r="F25" s="34">
        <v>7.1537299999999998E-2</v>
      </c>
      <c r="G25" s="34">
        <v>0.70645247</v>
      </c>
      <c r="H25" s="34">
        <v>0.72211173000000028</v>
      </c>
      <c r="I25" s="34">
        <v>1.0464965199999998</v>
      </c>
      <c r="J25" s="34">
        <v>0.81082237000000001</v>
      </c>
      <c r="K25" s="34">
        <v>0.23549111</v>
      </c>
      <c r="L25" s="34">
        <v>5.4203670000000002E-2</v>
      </c>
      <c r="M25" s="34">
        <v>1.4556935199999999</v>
      </c>
      <c r="N25" s="34">
        <v>1.31070412</v>
      </c>
      <c r="O25" s="34">
        <v>2.1680609599999996</v>
      </c>
      <c r="P25" s="34">
        <f>+SUM(D25:O25)</f>
        <v>9.0177574699999994</v>
      </c>
      <c r="R25" s="14"/>
    </row>
    <row r="26" spans="2:18" ht="18" customHeight="1" thickTop="1" thickBot="1">
      <c r="B26" s="260"/>
      <c r="C26" s="29" t="s">
        <v>139</v>
      </c>
      <c r="D26" s="34">
        <f>+D23+D24+D25</f>
        <v>5.9425778100000004</v>
      </c>
      <c r="E26" s="34">
        <f t="shared" ref="E26:O26" si="0">+E23+E24+E25</f>
        <v>5.4487472100000014</v>
      </c>
      <c r="F26" s="34">
        <f t="shared" si="0"/>
        <v>6.9436729099999992</v>
      </c>
      <c r="G26" s="34">
        <f t="shared" si="0"/>
        <v>6.9739521399999997</v>
      </c>
      <c r="H26" s="34">
        <f t="shared" si="0"/>
        <v>7.8745375100000006</v>
      </c>
      <c r="I26" s="34">
        <f t="shared" si="0"/>
        <v>7.90762695</v>
      </c>
      <c r="J26" s="34">
        <f t="shared" si="0"/>
        <v>7.0804418299999998</v>
      </c>
      <c r="K26" s="34">
        <f t="shared" si="0"/>
        <v>9.2055110200000012</v>
      </c>
      <c r="L26" s="34">
        <f t="shared" si="0"/>
        <v>4.2729789699999996</v>
      </c>
      <c r="M26" s="34">
        <f t="shared" si="0"/>
        <v>6.4368277899999997</v>
      </c>
      <c r="N26" s="34">
        <f t="shared" si="0"/>
        <v>8.468186339999999</v>
      </c>
      <c r="O26" s="34">
        <f t="shared" si="0"/>
        <v>8.8864876200000005</v>
      </c>
      <c r="P26" s="34">
        <f>+P23+P24+P25</f>
        <v>85.441548099999977</v>
      </c>
      <c r="R26" s="14"/>
    </row>
    <row r="27" spans="2:18" ht="18" customHeight="1" thickTop="1" thickBot="1">
      <c r="B27" s="260"/>
      <c r="C27" s="32" t="s">
        <v>40</v>
      </c>
      <c r="D27" s="35">
        <v>-0.15086649362667312</v>
      </c>
      <c r="E27" s="35">
        <v>6.5608404209156035E-2</v>
      </c>
      <c r="F27" s="35">
        <v>0.67157904774961119</v>
      </c>
      <c r="G27" s="35">
        <v>0.144905495856893</v>
      </c>
      <c r="H27" s="35">
        <v>0.25299135643588089</v>
      </c>
      <c r="I27" s="35">
        <v>0.27816187671365367</v>
      </c>
      <c r="J27" s="35">
        <v>0.31238381761168915</v>
      </c>
      <c r="K27" s="35">
        <v>1.9623530190367735</v>
      </c>
      <c r="L27" s="35">
        <v>0.35890869617481724</v>
      </c>
      <c r="M27" s="35">
        <v>0.5467157607062777</v>
      </c>
      <c r="N27" s="35">
        <v>0.77577344816489036</v>
      </c>
      <c r="O27" s="35">
        <v>0.57587848392530383</v>
      </c>
      <c r="P27" s="35">
        <v>0.36766947790811461</v>
      </c>
      <c r="R27" s="14"/>
    </row>
    <row r="28" spans="2:18" s="3" customFormat="1" ht="18" customHeight="1" thickTop="1" thickBot="1">
      <c r="B28" s="260" t="s">
        <v>5</v>
      </c>
      <c r="C28" s="31" t="s">
        <v>65</v>
      </c>
      <c r="D28" s="34">
        <v>4.7615660000000002</v>
      </c>
      <c r="E28" s="34">
        <v>6.4823779999999998</v>
      </c>
      <c r="F28" s="34">
        <v>7.0165879999999996</v>
      </c>
      <c r="G28" s="34">
        <v>4.7093670000000003</v>
      </c>
      <c r="H28" s="34">
        <v>4.4742709999999999</v>
      </c>
      <c r="I28" s="34">
        <v>3.03613</v>
      </c>
      <c r="J28" s="34">
        <v>3.3316170000000001</v>
      </c>
      <c r="K28" s="34">
        <v>5.6757140000000001</v>
      </c>
      <c r="L28" s="34">
        <v>2.8328549999999999</v>
      </c>
      <c r="M28" s="34">
        <v>2.1975630000000002</v>
      </c>
      <c r="N28" s="34">
        <v>3.5755159999999999</v>
      </c>
      <c r="O28" s="34">
        <v>2.1992389999999999</v>
      </c>
      <c r="P28" s="34">
        <v>50.292804000000004</v>
      </c>
      <c r="R28" s="44"/>
    </row>
    <row r="29" spans="2:18" s="3" customFormat="1" ht="18" customHeight="1" thickTop="1" thickBot="1">
      <c r="B29" s="260"/>
      <c r="C29" s="29" t="s">
        <v>59</v>
      </c>
      <c r="D29" s="34">
        <v>4.6981029999999997</v>
      </c>
      <c r="E29" s="34">
        <v>4.817469</v>
      </c>
      <c r="F29" s="34">
        <v>4.0754999999999999</v>
      </c>
      <c r="G29" s="34">
        <v>4.6526880000000004</v>
      </c>
      <c r="H29" s="34">
        <v>5.819261</v>
      </c>
      <c r="I29" s="34">
        <v>4.8394630000000003</v>
      </c>
      <c r="J29" s="34">
        <v>5.2201680000000001</v>
      </c>
      <c r="K29" s="34">
        <v>2.962027</v>
      </c>
      <c r="L29" s="34">
        <v>3.2178300000000002</v>
      </c>
      <c r="M29" s="34">
        <v>2.382781</v>
      </c>
      <c r="N29" s="34">
        <v>2.5493290000000002</v>
      </c>
      <c r="O29" s="34">
        <v>2.7518600000000002</v>
      </c>
      <c r="P29" s="34">
        <v>47.986479000000003</v>
      </c>
      <c r="R29" s="44"/>
    </row>
    <row r="30" spans="2:18" s="3" customFormat="1" ht="18" customHeight="1" thickTop="1" thickBot="1">
      <c r="B30" s="260"/>
      <c r="C30" s="29" t="s">
        <v>60</v>
      </c>
      <c r="D30" s="34">
        <v>1.21E-4</v>
      </c>
      <c r="E30" s="34">
        <v>6.829E-3</v>
      </c>
      <c r="F30" s="34">
        <v>2.0100000000000001E-4</v>
      </c>
      <c r="G30" s="34">
        <v>8.5599999999999999E-4</v>
      </c>
      <c r="H30" s="34">
        <v>6.7250000000000001E-3</v>
      </c>
      <c r="I30" s="34">
        <v>1.1594E-2</v>
      </c>
      <c r="J30" s="34">
        <v>3.9719999999999998E-3</v>
      </c>
      <c r="K30" s="34">
        <v>4.3839999999999999E-3</v>
      </c>
      <c r="L30" s="34">
        <v>6.1970000000000003E-3</v>
      </c>
      <c r="M30" s="34">
        <v>1.3691E-2</v>
      </c>
      <c r="N30" s="34">
        <v>1.3661E-2</v>
      </c>
      <c r="O30" s="34">
        <v>5.3169999999999997E-3</v>
      </c>
      <c r="P30" s="34">
        <v>7.3548000000000016E-2</v>
      </c>
      <c r="R30" s="44"/>
    </row>
    <row r="31" spans="2:18" s="3" customFormat="1" ht="18" customHeight="1" thickTop="1" thickBot="1">
      <c r="B31" s="260"/>
      <c r="C31" s="29" t="s">
        <v>139</v>
      </c>
      <c r="D31" s="34">
        <v>9.4597899999999999</v>
      </c>
      <c r="E31" s="34">
        <v>11.306676</v>
      </c>
      <c r="F31" s="34">
        <v>11.092289000000001</v>
      </c>
      <c r="G31" s="34">
        <v>9.3629110000000022</v>
      </c>
      <c r="H31" s="34">
        <v>10.300256999999998</v>
      </c>
      <c r="I31" s="34">
        <v>7.8871869999999999</v>
      </c>
      <c r="J31" s="34">
        <v>8.5557569999999998</v>
      </c>
      <c r="K31" s="34">
        <v>8.6421250000000001</v>
      </c>
      <c r="L31" s="34">
        <v>6.0568819999999999</v>
      </c>
      <c r="M31" s="34">
        <v>4.5940349999999999</v>
      </c>
      <c r="N31" s="34">
        <v>6.1385060000000005</v>
      </c>
      <c r="O31" s="34">
        <v>4.9564159999999999</v>
      </c>
      <c r="P31" s="34">
        <v>98.352831000000009</v>
      </c>
      <c r="R31" s="44"/>
    </row>
    <row r="32" spans="2:18" s="3" customFormat="1" ht="18" customHeight="1" thickTop="1" thickBot="1">
      <c r="B32" s="260"/>
      <c r="C32" s="32" t="s">
        <v>40</v>
      </c>
      <c r="D32" s="35">
        <v>-2.6836855349975045E-2</v>
      </c>
      <c r="E32" s="35">
        <v>-1.5806305966359069E-2</v>
      </c>
      <c r="F32" s="35">
        <v>6.011777781324578E-2</v>
      </c>
      <c r="G32" s="35">
        <v>-4.3318770278452538E-2</v>
      </c>
      <c r="H32" s="35">
        <v>-6.3609169310238217E-2</v>
      </c>
      <c r="I32" s="35">
        <v>-5.2119682706179109E-2</v>
      </c>
      <c r="J32" s="35">
        <v>-0.27761936906415874</v>
      </c>
      <c r="K32" s="35">
        <v>4.3853912813248422E-2</v>
      </c>
      <c r="L32" s="35">
        <v>-0.21175772731934103</v>
      </c>
      <c r="M32" s="35">
        <v>-0.48871082321048215</v>
      </c>
      <c r="N32" s="35">
        <v>-0.27584041536766934</v>
      </c>
      <c r="O32" s="35">
        <v>-1.2889906630728054E-2</v>
      </c>
      <c r="P32" s="35">
        <v>-0.11449584842405955</v>
      </c>
      <c r="R32" s="44"/>
    </row>
    <row r="33" spans="2:18" s="3" customFormat="1" ht="18" customHeight="1" thickTop="1" thickBot="1">
      <c r="B33" s="260" t="s">
        <v>4</v>
      </c>
      <c r="C33" s="31" t="s">
        <v>65</v>
      </c>
      <c r="D33" s="34">
        <v>0.83344110999999999</v>
      </c>
      <c r="E33" s="34">
        <v>9.7658889999999998E-2</v>
      </c>
      <c r="F33" s="34">
        <v>0.25481999999999999</v>
      </c>
      <c r="G33" s="34">
        <v>0.70448036999999997</v>
      </c>
      <c r="H33" s="34">
        <v>0.73007734000000002</v>
      </c>
      <c r="I33" s="34">
        <v>0.50977501000000003</v>
      </c>
      <c r="J33" s="34">
        <v>0.21404713999999997</v>
      </c>
      <c r="K33" s="34">
        <v>0.16134976000000001</v>
      </c>
      <c r="L33" s="34">
        <v>0.50104252000000005</v>
      </c>
      <c r="M33" s="34">
        <v>0.89056768000000008</v>
      </c>
      <c r="N33" s="34">
        <v>0.16802565999999999</v>
      </c>
      <c r="O33" s="34">
        <v>0.32436052000000004</v>
      </c>
      <c r="P33" s="34">
        <v>5.3896460000000008</v>
      </c>
      <c r="R33" s="44"/>
    </row>
    <row r="34" spans="2:18" s="3" customFormat="1" ht="18" customHeight="1" thickTop="1" thickBot="1">
      <c r="B34" s="260"/>
      <c r="C34" s="29" t="s">
        <v>59</v>
      </c>
      <c r="D34" s="34">
        <v>0.27438457999999993</v>
      </c>
      <c r="E34" s="34">
        <v>0.17202500000000001</v>
      </c>
      <c r="F34" s="34">
        <v>0.13470499999999999</v>
      </c>
      <c r="G34" s="34">
        <v>7.0286000000000001E-2</v>
      </c>
      <c r="H34" s="34">
        <v>0.13353400000000001</v>
      </c>
      <c r="I34" s="34">
        <v>0.10248136000000001</v>
      </c>
      <c r="J34" s="34">
        <v>7.9207600000000003E-2</v>
      </c>
      <c r="K34" s="34">
        <v>0.27876084000000001</v>
      </c>
      <c r="L34" s="34">
        <v>0.30739699999999998</v>
      </c>
      <c r="M34" s="34">
        <v>0.131048</v>
      </c>
      <c r="N34" s="34">
        <v>8.4346500000000005E-2</v>
      </c>
      <c r="O34" s="34">
        <v>0.34042194999999997</v>
      </c>
      <c r="P34" s="34">
        <v>2.1085978299999999</v>
      </c>
      <c r="R34" s="44"/>
    </row>
    <row r="35" spans="2:18" s="3" customFormat="1" ht="18" customHeight="1" thickTop="1" thickBot="1">
      <c r="B35" s="260"/>
      <c r="C35" s="29" t="s">
        <v>60</v>
      </c>
      <c r="D35" s="34">
        <v>0.13388404999999998</v>
      </c>
      <c r="E35" s="34">
        <v>1.134E-3</v>
      </c>
      <c r="F35" s="34">
        <v>6.1700000000000004E-4</v>
      </c>
      <c r="G35" s="34">
        <v>7.2282910000000006E-2</v>
      </c>
      <c r="H35" s="34">
        <v>4.2328899999999982E-2</v>
      </c>
      <c r="I35" s="34">
        <v>0.13685027999999999</v>
      </c>
      <c r="J35" s="34">
        <v>0.1237539</v>
      </c>
      <c r="K35" s="34">
        <v>9.7851699999999993E-3</v>
      </c>
      <c r="L35" s="34">
        <v>3.200803E-2</v>
      </c>
      <c r="M35" s="34">
        <v>2.6889499999999998E-3</v>
      </c>
      <c r="N35" s="34">
        <v>7.3608000000000039E-4</v>
      </c>
      <c r="O35" s="34">
        <v>3.2372200000000004E-2</v>
      </c>
      <c r="P35" s="34">
        <v>0.58844146999999991</v>
      </c>
      <c r="R35" s="44"/>
    </row>
    <row r="36" spans="2:18" s="3" customFormat="1" ht="18" customHeight="1" thickTop="1" thickBot="1">
      <c r="B36" s="260"/>
      <c r="C36" s="29" t="s">
        <v>139</v>
      </c>
      <c r="D36" s="34">
        <v>1.2417097399999999</v>
      </c>
      <c r="E36" s="34">
        <v>0.27081789000000006</v>
      </c>
      <c r="F36" s="34">
        <v>0.39014199999999999</v>
      </c>
      <c r="G36" s="34">
        <v>0.8470492799999999</v>
      </c>
      <c r="H36" s="34">
        <v>0.90594024000000006</v>
      </c>
      <c r="I36" s="34">
        <v>0.74910664999999999</v>
      </c>
      <c r="J36" s="34">
        <v>0.41700863999999993</v>
      </c>
      <c r="K36" s="34">
        <v>0.44989577000000003</v>
      </c>
      <c r="L36" s="34">
        <v>0.84044755000000004</v>
      </c>
      <c r="M36" s="34">
        <v>1.02430463</v>
      </c>
      <c r="N36" s="34">
        <v>0.25310824000000004</v>
      </c>
      <c r="O36" s="34">
        <v>0.69715466999999998</v>
      </c>
      <c r="P36" s="34">
        <v>8.086685300000001</v>
      </c>
      <c r="R36" s="44"/>
    </row>
    <row r="37" spans="2:18" s="3" customFormat="1" ht="18" customHeight="1" thickTop="1" thickBot="1">
      <c r="B37" s="260"/>
      <c r="C37" s="32" t="s">
        <v>40</v>
      </c>
      <c r="D37" s="35">
        <v>6.122954819641854</v>
      </c>
      <c r="E37" s="35">
        <v>-0.60338652435685858</v>
      </c>
      <c r="F37" s="35">
        <v>0.9779574517747962</v>
      </c>
      <c r="G37" s="35">
        <v>1.0977832055551415</v>
      </c>
      <c r="H37" s="35">
        <v>1.0905289193218599</v>
      </c>
      <c r="I37" s="35">
        <v>2.5887425245973512</v>
      </c>
      <c r="J37" s="35">
        <v>-0.17523894731341746</v>
      </c>
      <c r="K37" s="35">
        <v>-0.27553914387857015</v>
      </c>
      <c r="L37" s="35">
        <v>0.38161145007683034</v>
      </c>
      <c r="M37" s="35">
        <v>0.20413656128248595</v>
      </c>
      <c r="N37" s="35">
        <v>-0.60536862063906371</v>
      </c>
      <c r="O37" s="35">
        <v>-0.48830787472574771</v>
      </c>
      <c r="P37" s="35">
        <v>0.20882932143836866</v>
      </c>
      <c r="R37" s="44"/>
    </row>
    <row r="38" spans="2:18" s="3" customFormat="1" ht="18" customHeight="1" thickTop="1" thickBot="1">
      <c r="B38" s="260" t="s">
        <v>10</v>
      </c>
      <c r="C38" s="31" t="s">
        <v>65</v>
      </c>
      <c r="D38" s="34">
        <v>4.6856363600000002</v>
      </c>
      <c r="E38" s="34">
        <v>5.0222387800000003</v>
      </c>
      <c r="F38" s="34">
        <v>4.5486347300000007</v>
      </c>
      <c r="G38" s="34">
        <v>3.7081002499999993</v>
      </c>
      <c r="H38" s="34">
        <v>3.3182915700000004</v>
      </c>
      <c r="I38" s="34">
        <v>2.7621002299999997</v>
      </c>
      <c r="J38" s="34">
        <v>3.2802976199999998</v>
      </c>
      <c r="K38" s="34">
        <v>3.3683776499999993</v>
      </c>
      <c r="L38" s="34">
        <v>3.0001904000000006</v>
      </c>
      <c r="M38" s="34">
        <v>4.0942059399999993</v>
      </c>
      <c r="N38" s="34">
        <v>3.7349258399999994</v>
      </c>
      <c r="O38" s="34">
        <v>2.9219785099999998</v>
      </c>
      <c r="P38" s="34">
        <v>44.44497788000001</v>
      </c>
      <c r="R38" s="44"/>
    </row>
    <row r="39" spans="2:18" s="3" customFormat="1" ht="18" customHeight="1" thickTop="1" thickBot="1">
      <c r="B39" s="260"/>
      <c r="C39" s="29" t="s">
        <v>59</v>
      </c>
      <c r="D39" s="34">
        <v>3.5442010399999999</v>
      </c>
      <c r="E39" s="34">
        <v>4.7709021600000003</v>
      </c>
      <c r="F39" s="34">
        <v>4.8541033100000002</v>
      </c>
      <c r="G39" s="34">
        <v>5.1958242099999996</v>
      </c>
      <c r="H39" s="34">
        <v>5.9375413400000001</v>
      </c>
      <c r="I39" s="34">
        <v>5.6628158100000006</v>
      </c>
      <c r="J39" s="34">
        <v>6.4580229500000002</v>
      </c>
      <c r="K39" s="34">
        <v>4.1913361199999999</v>
      </c>
      <c r="L39" s="34">
        <v>5.5330000999999998</v>
      </c>
      <c r="M39" s="34">
        <v>5.0348324199999999</v>
      </c>
      <c r="N39" s="34">
        <v>5.29999529</v>
      </c>
      <c r="O39" s="34">
        <v>4.5220398200000007</v>
      </c>
      <c r="P39" s="34">
        <v>61.004614570000008</v>
      </c>
      <c r="R39" s="44"/>
    </row>
    <row r="40" spans="2:18" s="3" customFormat="1" ht="18" customHeight="1" thickTop="1" thickBot="1">
      <c r="B40" s="260"/>
      <c r="C40" s="29" t="s">
        <v>60</v>
      </c>
      <c r="D40" s="34">
        <v>2.0358049999999999E-2</v>
      </c>
      <c r="E40" s="34">
        <v>1.49256E-3</v>
      </c>
      <c r="F40" s="34">
        <v>3.803E-3</v>
      </c>
      <c r="G40" s="34">
        <v>4.8530599999999993E-3</v>
      </c>
      <c r="H40" s="34">
        <v>3.17936E-3</v>
      </c>
      <c r="I40" s="34">
        <v>3.528485E-2</v>
      </c>
      <c r="J40" s="34">
        <v>3.1331310000000001E-2</v>
      </c>
      <c r="K40" s="34">
        <v>1.9202799999999999E-3</v>
      </c>
      <c r="L40" s="34">
        <v>1.114357E-2</v>
      </c>
      <c r="M40" s="34">
        <v>6.3173600000000002E-3</v>
      </c>
      <c r="N40" s="34">
        <v>1.975791E-2</v>
      </c>
      <c r="O40" s="34">
        <v>6.9401799999999998E-3</v>
      </c>
      <c r="P40" s="34">
        <v>0.14638148999999998</v>
      </c>
      <c r="R40" s="44"/>
    </row>
    <row r="41" spans="2:18" s="3" customFormat="1" ht="18" customHeight="1" thickTop="1" thickBot="1">
      <c r="B41" s="260"/>
      <c r="C41" s="29" t="s">
        <v>139</v>
      </c>
      <c r="D41" s="34">
        <v>8.2501954500000014</v>
      </c>
      <c r="E41" s="34">
        <v>9.7946335000000015</v>
      </c>
      <c r="F41" s="34">
        <v>9.4065410400000005</v>
      </c>
      <c r="G41" s="34">
        <v>8.9087775199999992</v>
      </c>
      <c r="H41" s="34">
        <v>9.2590122700000013</v>
      </c>
      <c r="I41" s="34">
        <v>8.4602008899999994</v>
      </c>
      <c r="J41" s="34">
        <v>9.7696518799999996</v>
      </c>
      <c r="K41" s="34">
        <v>7.5616340499999994</v>
      </c>
      <c r="L41" s="34">
        <v>8.5443340699999997</v>
      </c>
      <c r="M41" s="34">
        <v>9.1353557199999997</v>
      </c>
      <c r="N41" s="34">
        <v>9.0546790399999981</v>
      </c>
      <c r="O41" s="34">
        <v>7.4509585100000004</v>
      </c>
      <c r="P41" s="34">
        <v>105.59597394000001</v>
      </c>
      <c r="R41" s="44"/>
    </row>
    <row r="42" spans="2:18" s="3" customFormat="1" ht="18" customHeight="1" thickTop="1" thickBot="1">
      <c r="B42" s="260"/>
      <c r="C42" s="32" t="s">
        <v>40</v>
      </c>
      <c r="D42" s="35">
        <v>-0.36628152651384044</v>
      </c>
      <c r="E42" s="35">
        <v>-3.2986862910918416E-2</v>
      </c>
      <c r="F42" s="35">
        <v>-0.2519330021761389</v>
      </c>
      <c r="G42" s="35">
        <v>-0.31730329824829401</v>
      </c>
      <c r="H42" s="35">
        <v>-0.33987529923700333</v>
      </c>
      <c r="I42" s="35">
        <v>-0.32046684483490473</v>
      </c>
      <c r="J42" s="35">
        <v>-0.1787564824701868</v>
      </c>
      <c r="K42" s="35">
        <v>-0.36811816872401498</v>
      </c>
      <c r="L42" s="35">
        <v>-0.27976111584729096</v>
      </c>
      <c r="M42" s="35">
        <v>-0.30004301208038425</v>
      </c>
      <c r="N42" s="35">
        <v>-0.33805228837283591</v>
      </c>
      <c r="O42" s="35">
        <v>-0.36106972266390441</v>
      </c>
      <c r="P42" s="35">
        <v>-0.29303623601718787</v>
      </c>
      <c r="R42" s="44"/>
    </row>
    <row r="43" spans="2:18" s="3" customFormat="1" ht="18" customHeight="1" thickTop="1" thickBot="1">
      <c r="B43" s="260" t="s">
        <v>11</v>
      </c>
      <c r="C43" s="31" t="s">
        <v>65</v>
      </c>
      <c r="D43" s="34">
        <v>5.6744640000000004</v>
      </c>
      <c r="E43" s="34">
        <v>7.2682710000000004</v>
      </c>
      <c r="F43" s="34">
        <v>8.8638250000000003</v>
      </c>
      <c r="G43" s="34">
        <v>9.2601169999999993</v>
      </c>
      <c r="H43" s="34">
        <v>9.1193779999999993</v>
      </c>
      <c r="I43" s="34">
        <v>10.782306999999999</v>
      </c>
      <c r="J43" s="34">
        <v>8.8484289999999994</v>
      </c>
      <c r="K43" s="34">
        <v>9.2181460000000008</v>
      </c>
      <c r="L43" s="34">
        <v>8.6496560000000002</v>
      </c>
      <c r="M43" s="34">
        <v>7.2320359999999999</v>
      </c>
      <c r="N43" s="34">
        <v>6.6364099999999997</v>
      </c>
      <c r="O43" s="34">
        <v>7.1388400000000001</v>
      </c>
      <c r="P43" s="34">
        <v>98.691879</v>
      </c>
      <c r="R43" s="44"/>
    </row>
    <row r="44" spans="2:18" s="3" customFormat="1" ht="18" customHeight="1" thickTop="1" thickBot="1">
      <c r="B44" s="260"/>
      <c r="C44" s="29" t="s">
        <v>59</v>
      </c>
      <c r="D44" s="34">
        <v>5.9968979999999998</v>
      </c>
      <c r="E44" s="34">
        <v>3.352033</v>
      </c>
      <c r="F44" s="34">
        <v>5.2595140000000002</v>
      </c>
      <c r="G44" s="34">
        <v>4.0775819999999996</v>
      </c>
      <c r="H44" s="34">
        <v>4.9208350000000003</v>
      </c>
      <c r="I44" s="34">
        <v>4.5559070000000004</v>
      </c>
      <c r="J44" s="34">
        <v>3.9395129999999998</v>
      </c>
      <c r="K44" s="34">
        <v>3.8182770000000001</v>
      </c>
      <c r="L44" s="34">
        <v>3.4399929999999999</v>
      </c>
      <c r="M44" s="34">
        <v>1.731887</v>
      </c>
      <c r="N44" s="34">
        <v>3.7427329999999999</v>
      </c>
      <c r="O44" s="34">
        <v>3.179179</v>
      </c>
      <c r="P44" s="34">
        <v>48.014351000000005</v>
      </c>
      <c r="R44" s="44"/>
    </row>
    <row r="45" spans="2:18" s="3" customFormat="1" ht="18" customHeight="1" thickTop="1" thickBot="1">
      <c r="B45" s="260"/>
      <c r="C45" s="29" t="s">
        <v>60</v>
      </c>
      <c r="D45" s="34">
        <v>0.65526399999999996</v>
      </c>
      <c r="E45" s="34">
        <v>0.62967499999999998</v>
      </c>
      <c r="F45" s="34">
        <v>1.0585599999999999</v>
      </c>
      <c r="G45" s="34">
        <v>0.79555200000000004</v>
      </c>
      <c r="H45" s="34">
        <v>0.80853799999999998</v>
      </c>
      <c r="I45" s="34">
        <v>1.1559520000000001</v>
      </c>
      <c r="J45" s="34">
        <v>1.428609</v>
      </c>
      <c r="K45" s="34">
        <v>1.1149439999999999</v>
      </c>
      <c r="L45" s="34">
        <v>1.2339869999999999</v>
      </c>
      <c r="M45" s="34">
        <v>1.828857</v>
      </c>
      <c r="N45" s="34">
        <v>1.1155189999999999</v>
      </c>
      <c r="O45" s="34">
        <v>1.2190110000000001</v>
      </c>
      <c r="P45" s="34">
        <v>13.044467999999997</v>
      </c>
      <c r="R45" s="44"/>
    </row>
    <row r="46" spans="2:18" s="3" customFormat="1" ht="18" customHeight="1" thickTop="1" thickBot="1">
      <c r="B46" s="260"/>
      <c r="C46" s="29" t="s">
        <v>139</v>
      </c>
      <c r="D46" s="34">
        <v>12.326626000000001</v>
      </c>
      <c r="E46" s="34">
        <v>11.249979000000002</v>
      </c>
      <c r="F46" s="34">
        <v>15.181899000000001</v>
      </c>
      <c r="G46" s="34">
        <v>14.133251</v>
      </c>
      <c r="H46" s="34">
        <v>14.848751</v>
      </c>
      <c r="I46" s="34">
        <v>16.494166</v>
      </c>
      <c r="J46" s="34">
        <v>14.216550999999999</v>
      </c>
      <c r="K46" s="34">
        <v>14.151367</v>
      </c>
      <c r="L46" s="34">
        <v>13.323636</v>
      </c>
      <c r="M46" s="34">
        <v>10.792779999999999</v>
      </c>
      <c r="N46" s="34">
        <v>11.494661999999998</v>
      </c>
      <c r="O46" s="34">
        <v>11.53703</v>
      </c>
      <c r="P46" s="34">
        <v>159.750698</v>
      </c>
      <c r="R46" s="44"/>
    </row>
    <row r="47" spans="2:18" s="3" customFormat="1" ht="18" customHeight="1" thickTop="1" thickBot="1">
      <c r="B47" s="260"/>
      <c r="C47" s="32" t="s">
        <v>40</v>
      </c>
      <c r="D47" s="35">
        <v>0.34357513005890133</v>
      </c>
      <c r="E47" s="35">
        <v>-0.18627778242705356</v>
      </c>
      <c r="F47" s="35">
        <v>0.1954853630419173</v>
      </c>
      <c r="G47" s="35">
        <v>0.32632270726814389</v>
      </c>
      <c r="H47" s="35">
        <v>4.7146394093866015E-3</v>
      </c>
      <c r="I47" s="35">
        <v>6.6662226057815924E-2</v>
      </c>
      <c r="J47" s="35">
        <v>0.3215883917424377</v>
      </c>
      <c r="K47" s="35">
        <v>0.26556422077750197</v>
      </c>
      <c r="L47" s="35">
        <v>0.11940544537910024</v>
      </c>
      <c r="M47" s="35">
        <v>0.11795175214256857</v>
      </c>
      <c r="N47" s="35">
        <v>-8.1428576794149943E-2</v>
      </c>
      <c r="O47" s="35">
        <v>7.32336575320955E-2</v>
      </c>
      <c r="P47" s="35">
        <v>0.11435957968507443</v>
      </c>
      <c r="R47" s="44"/>
    </row>
    <row r="48" spans="2:18" ht="18" customHeight="1" thickTop="1" thickBot="1">
      <c r="B48" s="260" t="s">
        <v>86</v>
      </c>
      <c r="C48" s="31" t="s">
        <v>65</v>
      </c>
      <c r="D48" s="34">
        <v>6.2568641300000012</v>
      </c>
      <c r="E48" s="34">
        <v>5.5821699100000002</v>
      </c>
      <c r="F48" s="34">
        <v>2.3526654500000004</v>
      </c>
      <c r="G48" s="34">
        <v>7.5051698199999999</v>
      </c>
      <c r="H48" s="34">
        <v>3.2888275200000003</v>
      </c>
      <c r="I48" s="34">
        <v>1.50872787</v>
      </c>
      <c r="J48" s="34">
        <v>1.4875608499999999</v>
      </c>
      <c r="K48" s="34">
        <v>1.6201673300000001</v>
      </c>
      <c r="L48" s="34">
        <v>1.5584438299999999</v>
      </c>
      <c r="M48" s="34">
        <v>3.7621906899999988</v>
      </c>
      <c r="N48" s="34">
        <v>1.9858045299999998</v>
      </c>
      <c r="O48" s="34">
        <v>5.2965782900000002</v>
      </c>
      <c r="P48" s="34">
        <f>+SUM(D48:O48)</f>
        <v>42.205170220000007</v>
      </c>
      <c r="R48" s="14"/>
    </row>
    <row r="49" spans="2:18" ht="18" customHeight="1" thickTop="1" thickBot="1">
      <c r="B49" s="260"/>
      <c r="C49" s="29" t="s">
        <v>59</v>
      </c>
      <c r="D49" s="34">
        <v>1.2152744700000002</v>
      </c>
      <c r="E49" s="34">
        <v>0.54501511999999996</v>
      </c>
      <c r="F49" s="34">
        <v>1.4762312299999998</v>
      </c>
      <c r="G49" s="34">
        <v>0.85062384000000013</v>
      </c>
      <c r="H49" s="34">
        <v>1.3905778900000001</v>
      </c>
      <c r="I49" s="34">
        <v>1.2650257199999999</v>
      </c>
      <c r="J49" s="34">
        <v>0.93786432000000008</v>
      </c>
      <c r="K49" s="34">
        <v>0.88716085999999983</v>
      </c>
      <c r="L49" s="34">
        <v>1.51514975</v>
      </c>
      <c r="M49" s="34">
        <v>1.4238702999999999</v>
      </c>
      <c r="N49" s="34">
        <v>0.97126296999999995</v>
      </c>
      <c r="O49" s="34">
        <v>0.68137033999999996</v>
      </c>
      <c r="P49" s="34">
        <f>+SUM(D49:O49)</f>
        <v>13.159426809999999</v>
      </c>
      <c r="R49" s="14"/>
    </row>
    <row r="50" spans="2:18" ht="18" customHeight="1" thickTop="1" thickBot="1">
      <c r="B50" s="260"/>
      <c r="C50" s="29" t="s">
        <v>60</v>
      </c>
      <c r="D50" s="34">
        <v>0.12404016000000001</v>
      </c>
      <c r="E50" s="34">
        <v>7.7341850000000004E-2</v>
      </c>
      <c r="F50" s="34">
        <v>0.17317802000000002</v>
      </c>
      <c r="G50" s="34">
        <v>8.2383699999999983E-3</v>
      </c>
      <c r="H50" s="34">
        <v>0.31562470000000004</v>
      </c>
      <c r="I50" s="34">
        <v>9.9772739999999999E-2</v>
      </c>
      <c r="J50" s="34">
        <v>0.10900736</v>
      </c>
      <c r="K50" s="34">
        <v>4.0755259999999995E-2</v>
      </c>
      <c r="L50" s="34">
        <v>9.1730530000000005E-2</v>
      </c>
      <c r="M50" s="34">
        <v>4.0439240000000001E-2</v>
      </c>
      <c r="N50" s="34">
        <v>1.6448400000000002E-2</v>
      </c>
      <c r="O50" s="34">
        <v>3.0755289999999998E-2</v>
      </c>
      <c r="P50" s="34">
        <f>+SUM(D50:O50)</f>
        <v>1.1273319200000003</v>
      </c>
      <c r="R50" s="14"/>
    </row>
    <row r="51" spans="2:18" ht="18" customHeight="1" thickTop="1" thickBot="1">
      <c r="B51" s="260"/>
      <c r="C51" s="29" t="s">
        <v>139</v>
      </c>
      <c r="D51" s="34">
        <f>+D50+D49+D48</f>
        <v>7.5961787600000017</v>
      </c>
      <c r="E51" s="34">
        <f t="shared" ref="E51:P51" si="1">+E50+E49+E48</f>
        <v>6.2045268800000004</v>
      </c>
      <c r="F51" s="34">
        <f t="shared" si="1"/>
        <v>4.0020746999999997</v>
      </c>
      <c r="G51" s="34">
        <f t="shared" si="1"/>
        <v>8.3640320300000006</v>
      </c>
      <c r="H51" s="34">
        <f t="shared" si="1"/>
        <v>4.9950301100000001</v>
      </c>
      <c r="I51" s="34">
        <f t="shared" si="1"/>
        <v>2.8735263299999998</v>
      </c>
      <c r="J51" s="34">
        <f t="shared" si="1"/>
        <v>2.5344325300000001</v>
      </c>
      <c r="K51" s="34">
        <f t="shared" si="1"/>
        <v>2.54808345</v>
      </c>
      <c r="L51" s="34">
        <f t="shared" si="1"/>
        <v>3.1653241099999998</v>
      </c>
      <c r="M51" s="34">
        <f t="shared" si="1"/>
        <v>5.2265002299999992</v>
      </c>
      <c r="N51" s="34">
        <f t="shared" si="1"/>
        <v>2.9735158999999998</v>
      </c>
      <c r="O51" s="34">
        <f t="shared" si="1"/>
        <v>6.0087039200000003</v>
      </c>
      <c r="P51" s="34">
        <f t="shared" si="1"/>
        <v>56.491928950000002</v>
      </c>
      <c r="Q51" s="4" t="s">
        <v>17</v>
      </c>
      <c r="R51" s="14"/>
    </row>
    <row r="52" spans="2:18" ht="18" customHeight="1" thickTop="1" thickBot="1">
      <c r="B52" s="260"/>
      <c r="C52" s="32" t="s">
        <v>40</v>
      </c>
      <c r="D52" s="35">
        <v>-0.38193882360939047</v>
      </c>
      <c r="E52" s="35">
        <v>-3.9420240568723446E-2</v>
      </c>
      <c r="F52" s="35">
        <v>0.29069322226036465</v>
      </c>
      <c r="G52" s="35">
        <v>1.4469967739466922</v>
      </c>
      <c r="H52" s="35">
        <v>-0.59860123297541057</v>
      </c>
      <c r="I52" s="35">
        <v>0.99161064156742285</v>
      </c>
      <c r="J52" s="35">
        <v>-0.66549522109207615</v>
      </c>
      <c r="K52" s="35">
        <v>-0.68800214402761262</v>
      </c>
      <c r="L52" s="35">
        <v>-0.78215087394829841</v>
      </c>
      <c r="M52" s="35">
        <v>0.17007466805973712</v>
      </c>
      <c r="N52" s="35">
        <v>-0.54789771196459225</v>
      </c>
      <c r="O52" s="35">
        <v>-0.14930358985507253</v>
      </c>
      <c r="P52" s="35">
        <v>-0.34116527715467293</v>
      </c>
      <c r="R52" s="14"/>
    </row>
    <row r="53" spans="2:18" ht="18" customHeight="1" thickTop="1" thickBot="1">
      <c r="B53" s="260" t="s">
        <v>43</v>
      </c>
      <c r="C53" s="31" t="s">
        <v>65</v>
      </c>
      <c r="D53" s="34">
        <v>99.797285348000003</v>
      </c>
      <c r="E53" s="34">
        <v>176.48726583499999</v>
      </c>
      <c r="F53" s="34">
        <v>183.61574676500001</v>
      </c>
      <c r="G53" s="34">
        <v>138.253713522</v>
      </c>
      <c r="H53" s="34">
        <v>140.29397972399997</v>
      </c>
      <c r="I53" s="34">
        <v>131.36558459099999</v>
      </c>
      <c r="J53" s="34">
        <v>113.21741553300001</v>
      </c>
      <c r="K53" s="34">
        <v>138.12647548999999</v>
      </c>
      <c r="L53" s="34">
        <v>137.62201734799999</v>
      </c>
      <c r="M53" s="34">
        <v>117.26517099</v>
      </c>
      <c r="N53" s="34">
        <v>145.97565323399996</v>
      </c>
      <c r="O53" s="34">
        <v>133.03064171399998</v>
      </c>
      <c r="P53" s="34">
        <v>1585.825331904</v>
      </c>
      <c r="R53" s="14"/>
    </row>
    <row r="54" spans="2:18" ht="18" customHeight="1" thickTop="1" thickBot="1">
      <c r="B54" s="260"/>
      <c r="C54" s="29" t="s">
        <v>59</v>
      </c>
      <c r="D54" s="34">
        <v>109.207460082</v>
      </c>
      <c r="E54" s="34">
        <v>85.804204314999993</v>
      </c>
      <c r="F54" s="34">
        <v>92.113530780000005</v>
      </c>
      <c r="G54" s="34">
        <v>101.39525182399998</v>
      </c>
      <c r="H54" s="34">
        <v>109.75676813700001</v>
      </c>
      <c r="I54" s="34">
        <v>110.78494684</v>
      </c>
      <c r="J54" s="34">
        <v>109.451321721</v>
      </c>
      <c r="K54" s="34">
        <v>100.50786199999997</v>
      </c>
      <c r="L54" s="34">
        <v>129.02231533600002</v>
      </c>
      <c r="M54" s="34">
        <v>113.18014142499999</v>
      </c>
      <c r="N54" s="34">
        <v>89.947955734999994</v>
      </c>
      <c r="O54" s="34">
        <v>104.385952487</v>
      </c>
      <c r="P54" s="34">
        <v>1236.7840964540001</v>
      </c>
      <c r="R54" s="14"/>
    </row>
    <row r="55" spans="2:18" ht="18" customHeight="1" thickTop="1" thickBot="1">
      <c r="B55" s="260"/>
      <c r="C55" s="29" t="s">
        <v>60</v>
      </c>
      <c r="D55" s="34">
        <v>53.957777348</v>
      </c>
      <c r="E55" s="34">
        <v>47.032511232999994</v>
      </c>
      <c r="F55" s="34">
        <v>43.401313763000005</v>
      </c>
      <c r="G55" s="34">
        <v>68.534621975999997</v>
      </c>
      <c r="H55" s="34">
        <v>111.02601448199998</v>
      </c>
      <c r="I55" s="34">
        <v>68.185297694000027</v>
      </c>
      <c r="J55" s="34">
        <v>68.658233439999989</v>
      </c>
      <c r="K55" s="34">
        <v>68.084821103999985</v>
      </c>
      <c r="L55" s="34">
        <v>67.681632061000002</v>
      </c>
      <c r="M55" s="34">
        <v>57.167517907000004</v>
      </c>
      <c r="N55" s="34">
        <v>56.716217359999987</v>
      </c>
      <c r="O55" s="34">
        <v>79.437943481999994</v>
      </c>
      <c r="P55" s="34">
        <v>756.38788816499971</v>
      </c>
      <c r="R55" s="14"/>
    </row>
    <row r="56" spans="2:18" ht="18" customHeight="1" thickTop="1" thickBot="1">
      <c r="B56" s="260"/>
      <c r="C56" s="29" t="s">
        <v>139</v>
      </c>
      <c r="D56" s="34">
        <v>251.89903816299994</v>
      </c>
      <c r="E56" s="34">
        <v>304.86419728199996</v>
      </c>
      <c r="F56" s="34">
        <v>316.59172839899981</v>
      </c>
      <c r="G56" s="34">
        <v>306.02056971599995</v>
      </c>
      <c r="H56" s="34">
        <v>352.77128751300006</v>
      </c>
      <c r="I56" s="34">
        <v>294.25028755900001</v>
      </c>
      <c r="J56" s="34">
        <v>269.20500733999995</v>
      </c>
      <c r="K56" s="34">
        <v>293.377100799</v>
      </c>
      <c r="L56" s="34">
        <v>275.56306697500008</v>
      </c>
      <c r="M56" s="34">
        <v>322.77253891800001</v>
      </c>
      <c r="N56" s="34">
        <v>284.32673398000009</v>
      </c>
      <c r="O56" s="34">
        <v>307.35575987899989</v>
      </c>
      <c r="P56" s="34">
        <v>3578.9973165229999</v>
      </c>
      <c r="Q56" s="4" t="s">
        <v>17</v>
      </c>
      <c r="R56" s="14"/>
    </row>
    <row r="57" spans="2:18" ht="18" customHeight="1" thickTop="1" thickBot="1">
      <c r="B57" s="260"/>
      <c r="C57" s="32" t="s">
        <v>40</v>
      </c>
      <c r="D57" s="35">
        <v>-0.21693344565086731</v>
      </c>
      <c r="E57" s="35">
        <v>0.30688973172774342</v>
      </c>
      <c r="F57" s="35">
        <v>-3.116721899606141E-2</v>
      </c>
      <c r="G57" s="35">
        <v>5.8091442559895616E-2</v>
      </c>
      <c r="H57" s="35">
        <v>-2.4107146042044971E-2</v>
      </c>
      <c r="I57" s="35">
        <v>-9.3968224626628905E-2</v>
      </c>
      <c r="J57" s="35">
        <v>-0.21941310857789742</v>
      </c>
      <c r="K57" s="35">
        <v>-0.15920811754457073</v>
      </c>
      <c r="L57" s="35">
        <v>-0.1456834511479414</v>
      </c>
      <c r="M57" s="35">
        <v>-3.7388053207454641E-2</v>
      </c>
      <c r="N57" s="35">
        <v>-3.0843430931445957E-2</v>
      </c>
      <c r="O57" s="35">
        <v>-6.677527891804573E-2</v>
      </c>
      <c r="P57" s="35">
        <v>-6.5925715133244273E-2</v>
      </c>
      <c r="R57" s="14"/>
    </row>
    <row r="58" spans="2:18" s="3" customFormat="1" ht="18" customHeight="1" thickTop="1" thickBot="1">
      <c r="B58" s="260" t="s">
        <v>71</v>
      </c>
      <c r="C58" s="31" t="s">
        <v>65</v>
      </c>
      <c r="D58" s="34">
        <v>0</v>
      </c>
      <c r="E58" s="34">
        <v>0</v>
      </c>
      <c r="F58" s="34">
        <v>1.69691E-3</v>
      </c>
      <c r="G58" s="34">
        <v>7.5619499999999996E-3</v>
      </c>
      <c r="H58" s="34">
        <v>1.2403930000000001E-2</v>
      </c>
      <c r="I58" s="34">
        <v>4.5279569999999998E-2</v>
      </c>
      <c r="J58" s="34">
        <v>2.0986999999999999E-2</v>
      </c>
      <c r="K58" s="34">
        <v>8.2573529999999992E-2</v>
      </c>
      <c r="L58" s="34">
        <v>8.8999070000000013E-2</v>
      </c>
      <c r="M58" s="34">
        <v>5.7225059999999994E-2</v>
      </c>
      <c r="N58" s="34">
        <v>0.61981093999999992</v>
      </c>
      <c r="O58" s="34">
        <v>0.29298656000000001</v>
      </c>
      <c r="P58" s="34">
        <v>1.22952452</v>
      </c>
      <c r="R58" s="44"/>
    </row>
    <row r="59" spans="2:18" s="3" customFormat="1" ht="18" customHeight="1" thickTop="1" thickBot="1">
      <c r="B59" s="260"/>
      <c r="C59" s="29" t="s">
        <v>59</v>
      </c>
      <c r="D59" s="34">
        <v>0</v>
      </c>
      <c r="E59" s="34">
        <v>2.2134999999999998E-2</v>
      </c>
      <c r="F59" s="34">
        <v>3.3103E-2</v>
      </c>
      <c r="G59" s="34">
        <v>9.9483160000000001E-2</v>
      </c>
      <c r="H59" s="34">
        <v>7.6507000000000006E-2</v>
      </c>
      <c r="I59" s="34">
        <v>0.30301378000000001</v>
      </c>
      <c r="J59" s="34">
        <v>1.0059999999999999E-2</v>
      </c>
      <c r="K59" s="34">
        <v>0.15692128000000002</v>
      </c>
      <c r="L59" s="34">
        <v>2.2946000000000001E-2</v>
      </c>
      <c r="M59" s="34">
        <v>0.48436443000000007</v>
      </c>
      <c r="N59" s="34">
        <v>0.14031939999999998</v>
      </c>
      <c r="O59" s="34">
        <v>0.25156047999999998</v>
      </c>
      <c r="P59" s="34">
        <v>1.6004135300000002</v>
      </c>
      <c r="R59" s="44"/>
    </row>
    <row r="60" spans="2:18" s="3" customFormat="1" ht="18" customHeight="1" thickTop="1" thickBot="1">
      <c r="B60" s="260"/>
      <c r="C60" s="29" t="s">
        <v>60</v>
      </c>
      <c r="D60" s="34"/>
      <c r="E60" s="34"/>
      <c r="F60" s="34"/>
      <c r="G60" s="34"/>
      <c r="H60" s="34"/>
      <c r="I60" s="34"/>
      <c r="J60" s="34"/>
      <c r="K60" s="34">
        <v>1.5740239999999999E-2</v>
      </c>
      <c r="L60" s="34"/>
      <c r="M60" s="34">
        <v>6.2E-4</v>
      </c>
      <c r="N60" s="34">
        <v>5.3541000000000005E-3</v>
      </c>
      <c r="O60" s="34">
        <v>1.9047000000000001E-2</v>
      </c>
      <c r="P60" s="34">
        <v>4.076134E-2</v>
      </c>
      <c r="R60" s="44"/>
    </row>
    <row r="61" spans="2:18" s="3" customFormat="1" ht="18" customHeight="1" thickTop="1" thickBot="1">
      <c r="B61" s="260"/>
      <c r="C61" s="29" t="s">
        <v>139</v>
      </c>
      <c r="D61" s="34">
        <v>0</v>
      </c>
      <c r="E61" s="34">
        <v>2.2134999999999998E-2</v>
      </c>
      <c r="F61" s="34">
        <v>3.4799910000000003E-2</v>
      </c>
      <c r="G61" s="34">
        <v>0.10704511</v>
      </c>
      <c r="H61" s="34">
        <v>8.8910929999999999E-2</v>
      </c>
      <c r="I61" s="34">
        <v>0.34829335</v>
      </c>
      <c r="J61" s="34">
        <v>3.1046999999999998E-2</v>
      </c>
      <c r="K61" s="34">
        <v>0.25523505000000002</v>
      </c>
      <c r="L61" s="34">
        <v>0.11194507000000001</v>
      </c>
      <c r="M61" s="34">
        <v>0.54220948999999996</v>
      </c>
      <c r="N61" s="34">
        <v>0.76548443999999993</v>
      </c>
      <c r="O61" s="34">
        <v>0.56359404000000002</v>
      </c>
      <c r="P61" s="34">
        <v>2.87069939</v>
      </c>
      <c r="R61" s="44"/>
    </row>
    <row r="62" spans="2:18" s="3" customFormat="1" ht="18" customHeight="1" thickTop="1" thickBot="1">
      <c r="B62" s="260"/>
      <c r="C62" s="32" t="s">
        <v>40</v>
      </c>
      <c r="D62" s="35">
        <v>-1</v>
      </c>
      <c r="E62" s="35">
        <v>-0.92375672045672796</v>
      </c>
      <c r="F62" s="35">
        <v>-0.8399404006421719</v>
      </c>
      <c r="G62" s="35">
        <v>0.62686296096809546</v>
      </c>
      <c r="H62" s="35">
        <v>-9.9609162968328044E-2</v>
      </c>
      <c r="I62" s="35">
        <v>2.0657936455262238</v>
      </c>
      <c r="J62" s="35">
        <v>-0.94559537934146132</v>
      </c>
      <c r="K62" s="35">
        <v>-0.10229135395969495</v>
      </c>
      <c r="L62" s="35">
        <v>-0.71965401553142572</v>
      </c>
      <c r="M62" s="35">
        <v>1.2782485692916628</v>
      </c>
      <c r="N62" s="35" t="s">
        <v>79</v>
      </c>
      <c r="O62" s="35" t="s">
        <v>79</v>
      </c>
      <c r="P62" s="35">
        <v>7.1881656742340649E-2</v>
      </c>
      <c r="R62" s="44"/>
    </row>
    <row r="63" spans="2:18" s="3" customFormat="1" ht="18" customHeight="1" thickTop="1" thickBot="1">
      <c r="B63" s="261" t="s">
        <v>6</v>
      </c>
      <c r="C63" s="31" t="s">
        <v>65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R63" s="44"/>
    </row>
    <row r="64" spans="2:18" s="3" customFormat="1" ht="18" customHeight="1" thickTop="1" thickBot="1">
      <c r="B64" s="261"/>
      <c r="C64" s="29" t="s">
        <v>59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R64" s="44"/>
    </row>
    <row r="65" spans="2:18" s="3" customFormat="1" ht="18" customHeight="1" thickTop="1" thickBot="1">
      <c r="B65" s="261"/>
      <c r="C65" s="29" t="s">
        <v>60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R65" s="44"/>
    </row>
    <row r="66" spans="2:18" s="3" customFormat="1" ht="18" customHeight="1" thickTop="1" thickBot="1">
      <c r="B66" s="261"/>
      <c r="C66" s="29" t="s">
        <v>139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R66" s="44"/>
    </row>
    <row r="67" spans="2:18" s="3" customFormat="1" ht="18" customHeight="1" thickTop="1" thickBot="1">
      <c r="B67" s="261"/>
      <c r="C67" s="32" t="s">
        <v>40</v>
      </c>
      <c r="D67" s="35" t="e">
        <v>#DIV/0!</v>
      </c>
      <c r="E67" s="35">
        <v>-1</v>
      </c>
      <c r="F67" s="35">
        <v>-1</v>
      </c>
      <c r="G67" s="35" t="e">
        <v>#DIV/0!</v>
      </c>
      <c r="H67" s="35" t="e">
        <v>#DIV/0!</v>
      </c>
      <c r="I67" s="35" t="e">
        <v>#DIV/0!</v>
      </c>
      <c r="J67" s="35" t="e">
        <v>#DIV/0!</v>
      </c>
      <c r="K67" s="35" t="e">
        <v>#DIV/0!</v>
      </c>
      <c r="L67" s="35" t="e">
        <v>#DIV/0!</v>
      </c>
      <c r="M67" s="35" t="e">
        <v>#DIV/0!</v>
      </c>
      <c r="N67" s="35" t="e">
        <v>#DIV/0!</v>
      </c>
      <c r="O67" s="35" t="e">
        <v>#DIV/0!</v>
      </c>
      <c r="P67" s="35">
        <v>-1</v>
      </c>
      <c r="R67" s="44"/>
    </row>
    <row r="68" spans="2:18" s="3" customFormat="1" ht="18" customHeight="1" thickTop="1" thickBot="1">
      <c r="B68" s="261" t="s">
        <v>44</v>
      </c>
      <c r="C68" s="31" t="s">
        <v>65</v>
      </c>
      <c r="D68" s="34">
        <v>10.742719759999998</v>
      </c>
      <c r="E68" s="34">
        <v>14.789787639999993</v>
      </c>
      <c r="F68" s="34">
        <v>12.0317826</v>
      </c>
      <c r="G68" s="34">
        <v>7.9017502300000029</v>
      </c>
      <c r="H68" s="34">
        <v>8.7679371699999944</v>
      </c>
      <c r="I68" s="34">
        <v>18.57646566</v>
      </c>
      <c r="J68" s="34">
        <v>9.0047080500000014</v>
      </c>
      <c r="K68" s="34">
        <v>23.229747660000005</v>
      </c>
      <c r="L68" s="34">
        <v>21.73007643</v>
      </c>
      <c r="M68" s="34">
        <v>9.8226458599999997</v>
      </c>
      <c r="N68" s="34">
        <v>9.5531429099999965</v>
      </c>
      <c r="O68" s="34">
        <v>11.83581517</v>
      </c>
      <c r="P68" s="34">
        <v>157.98657913999998</v>
      </c>
      <c r="R68" s="44"/>
    </row>
    <row r="69" spans="2:18" s="3" customFormat="1" ht="18" customHeight="1" thickTop="1" thickBot="1">
      <c r="B69" s="261"/>
      <c r="C69" s="29" t="s">
        <v>59</v>
      </c>
      <c r="D69" s="34">
        <v>0.21293113999999999</v>
      </c>
      <c r="E69" s="34">
        <v>0.36649472999999999</v>
      </c>
      <c r="F69" s="34">
        <v>4.9183549999999999E-2</v>
      </c>
      <c r="G69" s="34">
        <v>0.32087885999999999</v>
      </c>
      <c r="H69" s="34">
        <v>0.29059186999999997</v>
      </c>
      <c r="I69" s="34">
        <v>0.19232398000000003</v>
      </c>
      <c r="J69" s="34">
        <v>0.26888887</v>
      </c>
      <c r="K69" s="34">
        <v>0.33521598999999996</v>
      </c>
      <c r="L69" s="34">
        <v>0.23972781999999998</v>
      </c>
      <c r="M69" s="34">
        <v>0.28700799999999999</v>
      </c>
      <c r="N69" s="34">
        <v>0.44916642999999995</v>
      </c>
      <c r="O69" s="34">
        <v>0.21139063</v>
      </c>
      <c r="P69" s="34">
        <v>3.22380187</v>
      </c>
      <c r="R69" s="44"/>
    </row>
    <row r="70" spans="2:18" s="3" customFormat="1" ht="18" customHeight="1" thickTop="1" thickBot="1">
      <c r="B70" s="261"/>
      <c r="C70" s="29" t="s">
        <v>60</v>
      </c>
      <c r="D70" s="34">
        <v>5.3763489999999997E-2</v>
      </c>
      <c r="E70" s="34">
        <v>0.16853382999999991</v>
      </c>
      <c r="F70" s="34">
        <v>3.112529E-2</v>
      </c>
      <c r="G70" s="34">
        <v>5.1929950000000009E-2</v>
      </c>
      <c r="H70" s="34">
        <v>7.1576119999999979E-2</v>
      </c>
      <c r="I70" s="34">
        <v>2.3279979999999995E-2</v>
      </c>
      <c r="J70" s="34">
        <v>1.8929790000000005E-2</v>
      </c>
      <c r="K70" s="34">
        <v>3.6494169999999992E-2</v>
      </c>
      <c r="L70" s="34">
        <v>0.15452670000000002</v>
      </c>
      <c r="M70" s="34">
        <v>5.8931789999999991E-2</v>
      </c>
      <c r="N70" s="34">
        <v>0.12775367999999998</v>
      </c>
      <c r="O70" s="34">
        <v>0.10739084</v>
      </c>
      <c r="P70" s="34">
        <v>0.90423562999999985</v>
      </c>
      <c r="R70" s="44"/>
    </row>
    <row r="71" spans="2:18" s="3" customFormat="1" ht="18" customHeight="1" thickTop="1" thickBot="1">
      <c r="B71" s="261"/>
      <c r="C71" s="29" t="s">
        <v>139</v>
      </c>
      <c r="D71" s="34">
        <v>11.009414389999998</v>
      </c>
      <c r="E71" s="34">
        <v>15.324816199999992</v>
      </c>
      <c r="F71" s="34">
        <v>12.11209144</v>
      </c>
      <c r="G71" s="34">
        <v>8.2745590400000033</v>
      </c>
      <c r="H71" s="34">
        <v>9.1301051599999941</v>
      </c>
      <c r="I71" s="34">
        <v>18.792069620000003</v>
      </c>
      <c r="J71" s="34">
        <v>9.2925267100000006</v>
      </c>
      <c r="K71" s="34">
        <v>23.601457820000004</v>
      </c>
      <c r="L71" s="34">
        <v>22.124330950000001</v>
      </c>
      <c r="M71" s="34">
        <v>10.168585650000001</v>
      </c>
      <c r="N71" s="34">
        <v>10.130063019999996</v>
      </c>
      <c r="O71" s="34">
        <v>12.154596640000001</v>
      </c>
      <c r="P71" s="34">
        <v>162.11461663999995</v>
      </c>
      <c r="R71" s="44"/>
    </row>
    <row r="72" spans="2:18" s="3" customFormat="1" ht="18" customHeight="1" thickTop="1" thickBot="1">
      <c r="B72" s="261"/>
      <c r="C72" s="32" t="s">
        <v>40</v>
      </c>
      <c r="D72" s="35">
        <v>1.0509434755191589</v>
      </c>
      <c r="E72" s="35">
        <v>4.1810792069658168E-2</v>
      </c>
      <c r="F72" s="35">
        <v>0.41634470735378476</v>
      </c>
      <c r="G72" s="35">
        <v>-0.4939818633532968</v>
      </c>
      <c r="H72" s="35">
        <v>-3.6228361368405043E-2</v>
      </c>
      <c r="I72" s="35">
        <v>0.29755708233991812</v>
      </c>
      <c r="J72" s="35">
        <v>0.21009187837577231</v>
      </c>
      <c r="K72" s="35">
        <v>0.77232010777768045</v>
      </c>
      <c r="L72" s="35">
        <v>1.1404523246405087</v>
      </c>
      <c r="M72" s="35">
        <v>-0.48537755153902168</v>
      </c>
      <c r="N72" s="35">
        <v>-0.49878602896883834</v>
      </c>
      <c r="O72" s="35">
        <v>8.8793406635230707E-2</v>
      </c>
      <c r="P72" s="35">
        <v>7.0744878917949713E-2</v>
      </c>
      <c r="R72" s="44"/>
    </row>
    <row r="73" spans="2:18" s="3" customFormat="1" ht="18" customHeight="1" thickTop="1" thickBot="1">
      <c r="B73" s="261" t="s">
        <v>7</v>
      </c>
      <c r="C73" s="31" t="s">
        <v>65</v>
      </c>
      <c r="D73" s="34">
        <v>0</v>
      </c>
      <c r="E73" s="34">
        <v>2.9999999999999997E-4</v>
      </c>
      <c r="F73" s="34">
        <v>1.55E-4</v>
      </c>
      <c r="G73" s="34">
        <v>2.8010000000000001E-5</v>
      </c>
      <c r="H73" s="34">
        <v>0</v>
      </c>
      <c r="I73" s="34">
        <v>2.9400999999999999E-4</v>
      </c>
      <c r="J73" s="34">
        <v>4.4729599999999989E-3</v>
      </c>
      <c r="K73" s="34">
        <v>0</v>
      </c>
      <c r="L73" s="34">
        <v>0</v>
      </c>
      <c r="M73" s="34">
        <v>5.0000000000000002E-5</v>
      </c>
      <c r="N73" s="34">
        <v>1.3509999999999999E-5</v>
      </c>
      <c r="O73" s="34">
        <v>2.9219999999999998E-5</v>
      </c>
      <c r="P73" s="34">
        <v>5.3427099999999988E-3</v>
      </c>
      <c r="R73" s="44"/>
    </row>
    <row r="74" spans="2:18" s="3" customFormat="1" ht="18" customHeight="1" thickTop="1" thickBot="1">
      <c r="B74" s="261"/>
      <c r="C74" s="29" t="s">
        <v>59</v>
      </c>
      <c r="D74" s="34">
        <v>1.2620020000000001E-2</v>
      </c>
      <c r="E74" s="34">
        <v>0</v>
      </c>
      <c r="F74" s="34">
        <v>6.0899999999999995E-4</v>
      </c>
      <c r="G74" s="34">
        <v>0</v>
      </c>
      <c r="H74" s="34">
        <v>3.4462E-3</v>
      </c>
      <c r="I74" s="34">
        <v>0</v>
      </c>
      <c r="J74" s="34">
        <v>4.9740000000000001E-5</v>
      </c>
      <c r="K74" s="34">
        <v>0</v>
      </c>
      <c r="L74" s="34">
        <v>5.6364999999999996E-4</v>
      </c>
      <c r="M74" s="34">
        <v>1.5442000000000003E-4</v>
      </c>
      <c r="N74" s="34">
        <v>0</v>
      </c>
      <c r="O74" s="34">
        <v>3.1936800000000004E-3</v>
      </c>
      <c r="P74" s="34">
        <v>2.0636709999999999E-2</v>
      </c>
      <c r="R74" s="44"/>
    </row>
    <row r="75" spans="2:18" s="3" customFormat="1" ht="18" customHeight="1" thickTop="1" thickBot="1">
      <c r="B75" s="261"/>
      <c r="C75" s="29" t="s">
        <v>60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R75" s="44"/>
    </row>
    <row r="76" spans="2:18" s="3" customFormat="1" ht="18" customHeight="1" thickTop="1" thickBot="1">
      <c r="B76" s="261"/>
      <c r="C76" s="29" t="s">
        <v>139</v>
      </c>
      <c r="D76" s="34">
        <v>1.2620020000000001E-2</v>
      </c>
      <c r="E76" s="34">
        <v>2.9999999999999997E-4</v>
      </c>
      <c r="F76" s="34">
        <v>7.6399999999999992E-4</v>
      </c>
      <c r="G76" s="34">
        <v>2.8010000000000001E-5</v>
      </c>
      <c r="H76" s="34">
        <v>3.4462E-3</v>
      </c>
      <c r="I76" s="34">
        <v>2.9400999999999999E-4</v>
      </c>
      <c r="J76" s="34">
        <v>4.5226999999999993E-3</v>
      </c>
      <c r="K76" s="34">
        <v>0</v>
      </c>
      <c r="L76" s="34">
        <v>5.6364999999999996E-4</v>
      </c>
      <c r="M76" s="34">
        <v>2.0442000000000002E-4</v>
      </c>
      <c r="N76" s="34">
        <v>1.3509999999999999E-5</v>
      </c>
      <c r="O76" s="34">
        <v>3.2229000000000003E-3</v>
      </c>
      <c r="P76" s="34">
        <v>2.5979419999999996E-2</v>
      </c>
      <c r="R76" s="44"/>
    </row>
    <row r="77" spans="2:18" s="3" customFormat="1" ht="18" customHeight="1" thickTop="1" thickBot="1">
      <c r="B77" s="261"/>
      <c r="C77" s="32" t="s">
        <v>40</v>
      </c>
      <c r="D77" s="35">
        <v>-0.53354204398447613</v>
      </c>
      <c r="E77" s="35">
        <v>-0.9680677474669741</v>
      </c>
      <c r="F77" s="35">
        <v>-0.96226228698444061</v>
      </c>
      <c r="G77" s="35">
        <v>-0.99879044411990026</v>
      </c>
      <c r="H77" s="35">
        <v>-0.87031646065014123</v>
      </c>
      <c r="I77" s="35">
        <v>-0.98564306153740977</v>
      </c>
      <c r="J77" s="35">
        <v>-0.81242171622910719</v>
      </c>
      <c r="K77" s="35">
        <v>-1</v>
      </c>
      <c r="L77" s="35">
        <v>-0.98324763716340724</v>
      </c>
      <c r="M77" s="35">
        <v>-0.98214215515411363</v>
      </c>
      <c r="N77" s="35">
        <v>-0.99853708716838119</v>
      </c>
      <c r="O77" s="35">
        <v>-0.60508516113221411</v>
      </c>
      <c r="P77" s="35">
        <v>-0.87834487646765569</v>
      </c>
      <c r="R77" s="44"/>
    </row>
    <row r="78" spans="2:18" s="3" customFormat="1" ht="18" customHeight="1" thickTop="1" thickBot="1">
      <c r="B78" s="261" t="s">
        <v>3</v>
      </c>
      <c r="C78" s="31" t="s">
        <v>65</v>
      </c>
      <c r="D78" s="34">
        <v>0</v>
      </c>
      <c r="E78" s="34">
        <v>3.3996100000000008E-2</v>
      </c>
      <c r="F78" s="34">
        <v>3.257848E-2</v>
      </c>
      <c r="G78" s="34">
        <v>6.580024000000001E-2</v>
      </c>
      <c r="H78" s="34">
        <v>7.5243470000000007E-2</v>
      </c>
      <c r="I78" s="34">
        <v>8.0879999999999994E-2</v>
      </c>
      <c r="J78" s="34">
        <v>7.6597800000000008E-2</v>
      </c>
      <c r="K78" s="34">
        <v>3.2815999999999998E-2</v>
      </c>
      <c r="L78" s="34">
        <v>0</v>
      </c>
      <c r="M78" s="34">
        <v>0</v>
      </c>
      <c r="N78" s="34">
        <v>0</v>
      </c>
      <c r="O78" s="34">
        <v>0</v>
      </c>
      <c r="P78" s="34">
        <v>0.39791209</v>
      </c>
      <c r="R78" s="44"/>
    </row>
    <row r="79" spans="2:18" s="3" customFormat="1" ht="18" customHeight="1" thickTop="1" thickBot="1">
      <c r="B79" s="261"/>
      <c r="C79" s="29" t="s">
        <v>59</v>
      </c>
      <c r="D79" s="34">
        <v>0.44145382999999999</v>
      </c>
      <c r="E79" s="34">
        <v>0.627919</v>
      </c>
      <c r="F79" s="34">
        <v>0.46830100000000002</v>
      </c>
      <c r="G79" s="34">
        <v>0.23188</v>
      </c>
      <c r="H79" s="34">
        <v>4.0078414699999998</v>
      </c>
      <c r="I79" s="34">
        <v>0.37076167000000004</v>
      </c>
      <c r="J79" s="34">
        <v>0.31140499999999999</v>
      </c>
      <c r="K79" s="34">
        <v>0.299622</v>
      </c>
      <c r="L79" s="34">
        <v>1.1820000000000001E-3</v>
      </c>
      <c r="M79" s="34">
        <v>4.4514860000000001</v>
      </c>
      <c r="N79" s="34">
        <v>0</v>
      </c>
      <c r="O79" s="34">
        <v>7.9252339999999997</v>
      </c>
      <c r="P79" s="34">
        <v>19.137085970000001</v>
      </c>
      <c r="R79" s="44"/>
    </row>
    <row r="80" spans="2:18" s="3" customFormat="1" ht="18" customHeight="1" thickTop="1" thickBot="1">
      <c r="B80" s="261"/>
      <c r="C80" s="29" t="s">
        <v>60</v>
      </c>
      <c r="D80" s="34">
        <v>0</v>
      </c>
      <c r="E80" s="34">
        <v>8.4722000000000009E-3</v>
      </c>
      <c r="F80" s="34">
        <v>7.5569999999999998E-2</v>
      </c>
      <c r="G80" s="34">
        <v>0</v>
      </c>
      <c r="H80" s="34">
        <v>2.25647E-3</v>
      </c>
      <c r="I80" s="34">
        <v>7.6802429999999991E-2</v>
      </c>
      <c r="J80" s="34">
        <v>1.45506E-3</v>
      </c>
      <c r="K80" s="34">
        <v>1.2269799999999999E-3</v>
      </c>
      <c r="L80" s="34">
        <v>0</v>
      </c>
      <c r="M80" s="34">
        <v>3.4739999999999999E-4</v>
      </c>
      <c r="N80" s="34">
        <v>8.1000000000000004E-5</v>
      </c>
      <c r="O80" s="34">
        <v>0</v>
      </c>
      <c r="P80" s="34">
        <v>0.16621153999999999</v>
      </c>
      <c r="R80" s="44"/>
    </row>
    <row r="81" spans="2:18" s="3" customFormat="1" ht="18" customHeight="1" thickTop="1" thickBot="1">
      <c r="B81" s="261"/>
      <c r="C81" s="29" t="s">
        <v>139</v>
      </c>
      <c r="D81" s="34">
        <v>0.44145382999999999</v>
      </c>
      <c r="E81" s="34">
        <v>0.67038730000000002</v>
      </c>
      <c r="F81" s="34">
        <v>0.57644948000000007</v>
      </c>
      <c r="G81" s="34">
        <v>0.29768024000000004</v>
      </c>
      <c r="H81" s="34">
        <v>4.0853414099999998</v>
      </c>
      <c r="I81" s="34">
        <v>0.52844410000000008</v>
      </c>
      <c r="J81" s="34">
        <v>0.38945785999999999</v>
      </c>
      <c r="K81" s="34">
        <v>0.33366498</v>
      </c>
      <c r="L81" s="34">
        <v>1.1820000000000001E-3</v>
      </c>
      <c r="M81" s="34">
        <v>4.4518333999999999</v>
      </c>
      <c r="N81" s="34">
        <v>8.1000000000000004E-5</v>
      </c>
      <c r="O81" s="34">
        <v>7.9252339999999997</v>
      </c>
      <c r="P81" s="34">
        <v>19.701209599999999</v>
      </c>
      <c r="R81" s="44"/>
    </row>
    <row r="82" spans="2:18" s="3" customFormat="1" ht="18" customHeight="1" thickTop="1" thickBot="1">
      <c r="B82" s="261"/>
      <c r="C82" s="32" t="s">
        <v>40</v>
      </c>
      <c r="D82" s="35" t="s">
        <v>79</v>
      </c>
      <c r="E82" s="35">
        <v>6.554510930809105</v>
      </c>
      <c r="F82" s="35">
        <v>-0.2821972044952214</v>
      </c>
      <c r="G82" s="35">
        <v>-0.97753220346351577</v>
      </c>
      <c r="H82" s="35">
        <v>-0.73833172908112987</v>
      </c>
      <c r="I82" s="35">
        <v>-0.98337055534147744</v>
      </c>
      <c r="J82" s="35">
        <v>-0.96287318653547427</v>
      </c>
      <c r="K82" s="35">
        <v>10.71929123335217</v>
      </c>
      <c r="L82" s="35">
        <v>-0.99982085920291131</v>
      </c>
      <c r="M82" s="35">
        <v>2966.8889333333332</v>
      </c>
      <c r="N82" s="35">
        <v>-0.99931930485058318</v>
      </c>
      <c r="O82" s="35">
        <v>4.3589794910979327</v>
      </c>
      <c r="P82" s="35">
        <v>-0.75449360227009932</v>
      </c>
      <c r="R82" s="44"/>
    </row>
    <row r="83" spans="2:18" ht="18" customHeight="1" thickTop="1" thickBot="1">
      <c r="B83" s="261" t="s">
        <v>61</v>
      </c>
      <c r="C83" s="31" t="s">
        <v>65</v>
      </c>
      <c r="D83" s="34">
        <f t="shared" ref="D83:P83" si="2">+D8+D3+D13+D18+D23+D28+D63+D33+D38+D43+D53+D58+D68+D73+D78+D48</f>
        <v>282.83932335799994</v>
      </c>
      <c r="E83" s="34">
        <f t="shared" si="2"/>
        <v>324.52378138499995</v>
      </c>
      <c r="F83" s="34">
        <f t="shared" si="2"/>
        <v>340.48127313499998</v>
      </c>
      <c r="G83" s="34">
        <f t="shared" si="2"/>
        <v>300.49882260200002</v>
      </c>
      <c r="H83" s="34">
        <f t="shared" si="2"/>
        <v>281.74026545399988</v>
      </c>
      <c r="I83" s="34">
        <f t="shared" si="2"/>
        <v>279.69192467099992</v>
      </c>
      <c r="J83" s="34">
        <f t="shared" si="2"/>
        <v>272.51151387300001</v>
      </c>
      <c r="K83" s="34">
        <f t="shared" si="2"/>
        <v>307.51195352000002</v>
      </c>
      <c r="L83" s="34">
        <f t="shared" si="2"/>
        <v>312.038088448</v>
      </c>
      <c r="M83" s="34">
        <f t="shared" si="2"/>
        <v>264.13112197999999</v>
      </c>
      <c r="N83" s="34">
        <f t="shared" si="2"/>
        <v>279.80450809399991</v>
      </c>
      <c r="O83" s="34">
        <f t="shared" si="2"/>
        <v>299.96566959399991</v>
      </c>
      <c r="P83" s="34">
        <f t="shared" si="2"/>
        <v>3476.5126279239994</v>
      </c>
      <c r="R83" s="14"/>
    </row>
    <row r="84" spans="2:18" ht="18" customHeight="1" thickTop="1" thickBot="1">
      <c r="B84" s="261"/>
      <c r="C84" s="29" t="s">
        <v>59</v>
      </c>
      <c r="D84" s="34">
        <f t="shared" ref="D84:P84" si="3">+D9+D4+D14+D19+D24+D29+D64+D34+D39+D44+D54+D59+D69+D74+D79+D49</f>
        <v>335.831836522</v>
      </c>
      <c r="E84" s="34">
        <f t="shared" si="3"/>
        <v>220.29942586499996</v>
      </c>
      <c r="F84" s="34">
        <f t="shared" si="3"/>
        <v>201.47333994000002</v>
      </c>
      <c r="G84" s="34">
        <f t="shared" si="3"/>
        <v>243.316408564</v>
      </c>
      <c r="H84" s="34">
        <f t="shared" si="3"/>
        <v>204.708063917</v>
      </c>
      <c r="I84" s="34">
        <f t="shared" si="3"/>
        <v>326.93534067999997</v>
      </c>
      <c r="J84" s="34">
        <f t="shared" si="3"/>
        <v>273.39281014099998</v>
      </c>
      <c r="K84" s="34">
        <f t="shared" si="3"/>
        <v>259.77313265999993</v>
      </c>
      <c r="L84" s="34">
        <f t="shared" si="3"/>
        <v>412.28475171599996</v>
      </c>
      <c r="M84" s="34">
        <f t="shared" si="3"/>
        <v>468.26943303500002</v>
      </c>
      <c r="N84" s="34">
        <f t="shared" si="3"/>
        <v>419.49814983499999</v>
      </c>
      <c r="O84" s="34">
        <f t="shared" si="3"/>
        <v>468.80103162699999</v>
      </c>
      <c r="P84" s="34">
        <f t="shared" si="3"/>
        <v>3815.8101102739993</v>
      </c>
      <c r="R84" s="14"/>
    </row>
    <row r="85" spans="2:18" ht="18" customHeight="1" thickTop="1" thickBot="1">
      <c r="B85" s="261"/>
      <c r="C85" s="29" t="s">
        <v>60</v>
      </c>
      <c r="D85" s="34">
        <f t="shared" ref="D85:P85" si="4">+D10+D5+D15+D20+D25+D30+D65+D35+D40+D45+D55+D60+D70+D75+D80+D50</f>
        <v>95.172131708000009</v>
      </c>
      <c r="E85" s="34">
        <f t="shared" si="4"/>
        <v>84.912771562999993</v>
      </c>
      <c r="F85" s="34">
        <f t="shared" si="4"/>
        <v>69.299282903000005</v>
      </c>
      <c r="G85" s="34">
        <f t="shared" si="4"/>
        <v>89.651175835999993</v>
      </c>
      <c r="H85" s="34">
        <f t="shared" si="4"/>
        <v>154.07753446199996</v>
      </c>
      <c r="I85" s="34">
        <f t="shared" si="4"/>
        <v>116.82953067400003</v>
      </c>
      <c r="J85" s="34">
        <f t="shared" si="4"/>
        <v>101.75223577999999</v>
      </c>
      <c r="K85" s="34">
        <f t="shared" si="4"/>
        <v>102.68435361399997</v>
      </c>
      <c r="L85" s="34">
        <f t="shared" si="4"/>
        <v>112.92130449100001</v>
      </c>
      <c r="M85" s="34">
        <f t="shared" si="4"/>
        <v>103.82404204699999</v>
      </c>
      <c r="N85" s="34">
        <f t="shared" si="4"/>
        <v>116.27577943999998</v>
      </c>
      <c r="O85" s="34">
        <f t="shared" si="4"/>
        <v>131.738543612</v>
      </c>
      <c r="P85" s="34">
        <f t="shared" si="4"/>
        <v>1245.6426724449996</v>
      </c>
      <c r="R85" s="14"/>
    </row>
    <row r="86" spans="2:18" ht="18" customHeight="1" thickTop="1" thickBot="1">
      <c r="B86" s="261"/>
      <c r="C86" s="29" t="s">
        <v>139</v>
      </c>
      <c r="D86" s="34">
        <f>+D83+D84+D85</f>
        <v>713.84329158800006</v>
      </c>
      <c r="E86" s="34">
        <f t="shared" ref="E86:N86" si="5">+E83+E84+E85</f>
        <v>629.73597881299986</v>
      </c>
      <c r="F86" s="34">
        <f t="shared" si="5"/>
        <v>611.25389597799995</v>
      </c>
      <c r="G86" s="34">
        <f t="shared" si="5"/>
        <v>633.46640700199998</v>
      </c>
      <c r="H86" s="34">
        <f t="shared" si="5"/>
        <v>640.5258638329999</v>
      </c>
      <c r="I86" s="34">
        <f t="shared" si="5"/>
        <v>723.4567960249999</v>
      </c>
      <c r="J86" s="34">
        <f t="shared" si="5"/>
        <v>647.65655979399992</v>
      </c>
      <c r="K86" s="34">
        <f t="shared" si="5"/>
        <v>669.96943979399998</v>
      </c>
      <c r="L86" s="34">
        <f t="shared" si="5"/>
        <v>837.2441446549999</v>
      </c>
      <c r="M86" s="34">
        <f t="shared" si="5"/>
        <v>836.22459706200004</v>
      </c>
      <c r="N86" s="34">
        <f t="shared" si="5"/>
        <v>815.57843736899986</v>
      </c>
      <c r="O86" s="34">
        <f>+O83+O84+O85</f>
        <v>900.50524483300001</v>
      </c>
      <c r="P86" s="34">
        <f>+P83+P84+P85</f>
        <v>8537.9654106429989</v>
      </c>
      <c r="R86" s="14"/>
    </row>
    <row r="87" spans="2:18" ht="18" customHeight="1" thickTop="1" thickBot="1">
      <c r="B87" s="261"/>
      <c r="C87" s="32" t="s">
        <v>40</v>
      </c>
      <c r="D87" s="35">
        <v>-0.1635193234095523</v>
      </c>
      <c r="E87" s="35">
        <v>-7.8993220083555971E-2</v>
      </c>
      <c r="F87" s="35">
        <v>-7.2613767515119984E-2</v>
      </c>
      <c r="G87" s="35">
        <v>-0.13912086300039925</v>
      </c>
      <c r="H87" s="35">
        <v>-0.22347252520609784</v>
      </c>
      <c r="I87" s="35">
        <v>1.4078857562905478E-2</v>
      </c>
      <c r="J87" s="35">
        <v>-5.7633931959539371E-2</v>
      </c>
      <c r="K87" s="35">
        <v>-3.7385162717626208E-2</v>
      </c>
      <c r="L87" s="35">
        <v>0.14401295814217491</v>
      </c>
      <c r="M87" s="35">
        <v>0.30315892657830706</v>
      </c>
      <c r="N87" s="35">
        <v>0.23539204530547034</v>
      </c>
      <c r="O87" s="35">
        <v>0.24584142752812316</v>
      </c>
      <c r="P87" s="35">
        <v>4.9483035480561901E-3</v>
      </c>
      <c r="R87" s="14"/>
    </row>
    <row r="88" spans="2:18" s="3" customFormat="1" ht="18" customHeight="1" thickTop="1">
      <c r="B88" s="2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2"/>
      <c r="Q88" s="5"/>
      <c r="R88" s="44"/>
    </row>
    <row r="89" spans="2:18" s="3" customFormat="1" ht="18" customHeight="1">
      <c r="B89" s="25" t="s">
        <v>19</v>
      </c>
      <c r="C89" s="25" t="s">
        <v>19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2"/>
      <c r="Q89" s="5"/>
      <c r="R89" s="44"/>
    </row>
    <row r="90" spans="2:18" s="3" customFormat="1" ht="18" customHeight="1">
      <c r="B90" s="26" t="s">
        <v>12</v>
      </c>
      <c r="C90" s="26" t="s">
        <v>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2"/>
      <c r="Q90" s="5"/>
      <c r="R90" s="44"/>
    </row>
    <row r="91" spans="2:18" s="3" customFormat="1" ht="18" customHeight="1">
      <c r="B91" s="2" t="s">
        <v>18</v>
      </c>
      <c r="C91" s="2"/>
      <c r="D91" s="2"/>
      <c r="E91" s="2"/>
      <c r="F91" s="2"/>
      <c r="G91" s="2"/>
      <c r="H91" s="2"/>
      <c r="I91" s="2"/>
      <c r="J91" s="7"/>
      <c r="K91" s="2"/>
      <c r="L91" s="2"/>
      <c r="M91" s="2"/>
      <c r="N91" s="2"/>
      <c r="O91" s="1"/>
      <c r="P91" s="2"/>
      <c r="Q91" s="5"/>
      <c r="R91" s="44"/>
    </row>
    <row r="92" spans="2:18" ht="18" customHeight="1">
      <c r="B92" s="36" t="s">
        <v>92</v>
      </c>
      <c r="Q92" s="6"/>
      <c r="R92" s="14"/>
    </row>
  </sheetData>
  <mergeCells count="17">
    <mergeCell ref="B3:B7"/>
    <mergeCell ref="B13:B17"/>
    <mergeCell ref="B18:B22"/>
    <mergeCell ref="B23:B27"/>
    <mergeCell ref="B28:B32"/>
    <mergeCell ref="B8:B12"/>
    <mergeCell ref="B33:B37"/>
    <mergeCell ref="B38:B42"/>
    <mergeCell ref="B43:B47"/>
    <mergeCell ref="B53:B57"/>
    <mergeCell ref="B58:B62"/>
    <mergeCell ref="B48:B52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1D00-000000000000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319"/>
  <sheetViews>
    <sheetView zoomScale="90" zoomScaleNormal="90" zoomScaleSheetLayoutView="90" workbookViewId="0">
      <selection activeCell="P4" sqref="P4"/>
    </sheetView>
  </sheetViews>
  <sheetFormatPr defaultColWidth="11.42578125" defaultRowHeight="12.75"/>
  <cols>
    <col min="1" max="1" width="2.7109375" style="42" customWidth="1"/>
    <col min="2" max="2" width="35.42578125" style="42" customWidth="1"/>
    <col min="3" max="3" width="2.7109375" style="91" customWidth="1"/>
    <col min="4" max="5" width="13.7109375" style="42" customWidth="1"/>
    <col min="6" max="6" width="2.7109375" style="42" customWidth="1"/>
    <col min="7" max="9" width="13.7109375" style="42" customWidth="1"/>
    <col min="10" max="10" width="4.140625" style="42" customWidth="1"/>
    <col min="11" max="12" width="11.42578125" style="42"/>
    <col min="13" max="13" width="12.5703125" style="42" customWidth="1"/>
    <col min="14" max="14" width="11.42578125" style="184"/>
    <col min="15" max="16384" width="11.42578125" style="42"/>
  </cols>
  <sheetData>
    <row r="1" spans="1:15" ht="38.25" customHeight="1">
      <c r="B1" s="22" t="s">
        <v>154</v>
      </c>
    </row>
    <row r="2" spans="1:15" ht="18" customHeight="1" thickBot="1">
      <c r="B2" s="88" t="s">
        <v>115</v>
      </c>
      <c r="K2" s="177"/>
      <c r="L2" s="177"/>
      <c r="M2" s="177"/>
      <c r="N2" s="188"/>
    </row>
    <row r="3" spans="1:15" ht="30" customHeight="1" thickTop="1" thickBot="1">
      <c r="D3" s="104">
        <v>2018</v>
      </c>
      <c r="E3" s="104">
        <v>2018</v>
      </c>
      <c r="G3" s="153"/>
      <c r="H3" s="94"/>
      <c r="I3" s="237" t="s">
        <v>34</v>
      </c>
      <c r="J3" s="91"/>
      <c r="K3" s="91"/>
      <c r="L3" s="94"/>
      <c r="M3" s="180" t="s">
        <v>25</v>
      </c>
      <c r="N3" s="188"/>
    </row>
    <row r="4" spans="1:15" ht="30" customHeight="1" thickTop="1" thickBot="1">
      <c r="B4" s="21" t="s">
        <v>23</v>
      </c>
      <c r="C4" s="92"/>
      <c r="D4" s="237" t="s">
        <v>33</v>
      </c>
      <c r="E4" s="237" t="s">
        <v>199</v>
      </c>
      <c r="F4" s="101"/>
      <c r="G4" s="237">
        <v>2018</v>
      </c>
      <c r="H4" s="237">
        <v>2017</v>
      </c>
      <c r="I4" s="95" t="s">
        <v>196</v>
      </c>
      <c r="J4" s="101"/>
      <c r="K4" s="180">
        <v>2018</v>
      </c>
      <c r="L4" s="180">
        <v>2017</v>
      </c>
      <c r="M4" s="95" t="s">
        <v>196</v>
      </c>
      <c r="N4" s="188"/>
    </row>
    <row r="5" spans="1:15" ht="18" customHeight="1" thickTop="1">
      <c r="B5" s="89" t="s">
        <v>155</v>
      </c>
      <c r="D5" s="98">
        <f>+HLOOKUP($D$4,'Consumo Aparente 2018'!$C$2:$P$92,90,FALSE)</f>
        <v>5465.7148976032977</v>
      </c>
      <c r="E5" s="98">
        <f>+HLOOKUP($E$4,'Consumo Aparente 2018'!$C$2:$P$92,90,FALSE)</f>
        <v>5688.2141364004992</v>
      </c>
      <c r="F5" s="104"/>
      <c r="G5" s="145">
        <f>+HLOOKUP($I$3,'Consumo Aparente 2018'!$C$2:$P$92,90,FALSE)</f>
        <v>5355.3710443000009</v>
      </c>
      <c r="H5" s="145">
        <f>+HLOOKUP($I$3,'Consumo Aparente 2017'!$C$2:$P$92,90,FALSE)</f>
        <v>5323.7974542027878</v>
      </c>
      <c r="I5" s="109">
        <f>(G5-H5)/H5</f>
        <v>5.9306520146231063E-3</v>
      </c>
      <c r="J5" s="104"/>
      <c r="K5" s="103">
        <f>+HLOOKUP($M$3,'Consumo Aparente 2018'!$C$2:$P$92,90,FALSE)</f>
        <v>61541.277144317559</v>
      </c>
      <c r="L5" s="103">
        <f ca="1">+SUM('Consumo Aparente 2017'!$D91:OFFSET('Consumo Aparente 2017'!$D91,0,Índice!$Y$5))</f>
        <v>61718.15304361689</v>
      </c>
      <c r="M5" s="109">
        <f ca="1">(K5-L5)/L5</f>
        <v>-2.8658650749696208E-3</v>
      </c>
      <c r="N5" s="216"/>
    </row>
    <row r="6" spans="1:15" ht="18" customHeight="1">
      <c r="B6" s="90" t="s">
        <v>65</v>
      </c>
      <c r="D6" s="100">
        <f>+HLOOKUP($D$4,'Consumo Aparente 2018'!$C$2:$P$92,87,FALSE)</f>
        <v>2354.4616353951983</v>
      </c>
      <c r="E6" s="100">
        <f>+HLOOKUP($E$4,'Consumo Aparente 2018'!$C$2:$P$92,87,FALSE)</f>
        <v>2428.3045214886997</v>
      </c>
      <c r="F6" s="102"/>
      <c r="G6" s="100">
        <f>+HLOOKUP($I$3,'Consumo Aparente 2018'!$C$2:$P$92,87,FALSE)</f>
        <v>2241.118443540001</v>
      </c>
      <c r="H6" s="100">
        <f>+HLOOKUP($I$3,'Consumo Aparente 2017'!$C$2:$P$92,87,FALSE)</f>
        <v>2238.9359910905191</v>
      </c>
      <c r="I6" s="106">
        <f>(G6-H6)/H6</f>
        <v>9.7477214988126381E-4</v>
      </c>
      <c r="J6" s="102"/>
      <c r="K6" s="100">
        <f>+HLOOKUP($M$3,'Consumo Aparente 2018'!$C$2:$P$92,87,FALSE)</f>
        <v>26028.032645887375</v>
      </c>
      <c r="L6" s="100">
        <f ca="1">+SUM('Consumo Aparente 2017'!$D88:OFFSET('Consumo Aparente 2017'!$D88,0,Índice!$Y$5))</f>
        <v>25322.512444262025</v>
      </c>
      <c r="M6" s="107">
        <f ca="1">(K6-L6)/L6</f>
        <v>2.7861382363945392E-2</v>
      </c>
      <c r="N6" s="233">
        <f>+K6/$K$9</f>
        <v>0.42117722974380195</v>
      </c>
      <c r="O6" s="45"/>
    </row>
    <row r="7" spans="1:15" ht="18" customHeight="1">
      <c r="B7" s="90" t="s">
        <v>59</v>
      </c>
      <c r="D7" s="100">
        <f>+HLOOKUP($D$4,'Consumo Aparente 2018'!$C$2:$P$92,88,FALSE)</f>
        <v>3232.1273613268004</v>
      </c>
      <c r="E7" s="99">
        <f>+HLOOKUP($E$4,'Consumo Aparente 2018'!$C$2:$P$92,88,FALSE)</f>
        <v>3212.4558999979004</v>
      </c>
      <c r="F7" s="101"/>
      <c r="G7" s="99">
        <f>+HLOOKUP($I$3,'Consumo Aparente 2018'!$C$2:$P$92,88,FALSE)</f>
        <v>3105.5624715100003</v>
      </c>
      <c r="H7" s="99">
        <f>+HLOOKUP($I$3,'Consumo Aparente 2017'!$C$2:$P$92,88,FALSE)</f>
        <v>3017.9296900744002</v>
      </c>
      <c r="I7" s="107">
        <f>(G7-H7)/H7</f>
        <v>2.9037383383653189E-2</v>
      </c>
      <c r="J7" s="101"/>
      <c r="K7" s="99">
        <f>+HLOOKUP($M$3,'Consumo Aparente 2018'!$C$2:$P$92,88,FALSE)</f>
        <v>34876.836321242576</v>
      </c>
      <c r="L7" s="100">
        <f ca="1">+SUM('Consumo Aparente 2017'!$D89:OFFSET('Consumo Aparente 2017'!$D89,0,Índice!$Y$5))</f>
        <v>35568.943581391228</v>
      </c>
      <c r="M7" s="107">
        <f ca="1">(K7-L7)/L7</f>
        <v>-1.9458189939347684E-2</v>
      </c>
      <c r="N7" s="233">
        <f t="shared" ref="N7:N8" si="0">+K7/$K$9</f>
        <v>0.56436571691214577</v>
      </c>
      <c r="O7" s="45"/>
    </row>
    <row r="8" spans="1:15" ht="18" customHeight="1">
      <c r="B8" s="90" t="s">
        <v>60</v>
      </c>
      <c r="D8" s="143">
        <f>+HLOOKUP($D$4,'Consumo Aparente 2018'!$C$2:$P$92,89,FALSE)</f>
        <v>69.941900881300029</v>
      </c>
      <c r="E8" s="143">
        <f>+HLOOKUP($E$4,'Consumo Aparente 2018'!$C$2:$P$92,89,FALSE)</f>
        <v>114.5497149139</v>
      </c>
      <c r="F8" s="102"/>
      <c r="G8" s="143">
        <f>+HLOOKUP($I$3,'Consumo Aparente 2018'!$C$2:$P$92,89,FALSE)</f>
        <v>83.821129249999998</v>
      </c>
      <c r="H8" s="143">
        <f>+HLOOKUP($I$3,'Consumo Aparente 2017'!$C$2:$P$92,89,FALSE)</f>
        <v>71.18177303786851</v>
      </c>
      <c r="I8" s="108">
        <f>(G8-H8)/H8</f>
        <v>0.17756450384296252</v>
      </c>
      <c r="J8" s="102"/>
      <c r="K8" s="143">
        <f>+HLOOKUP($M$3,'Consumo Aparente 2018'!$C$2:$P$92,89,FALSE)</f>
        <v>893.42117718762006</v>
      </c>
      <c r="L8" s="143">
        <f ca="1">+SUM('Consumo Aparente 2017'!$D90:OFFSET('Consumo Aparente 2017'!$D90,0,Índice!$Y$5))</f>
        <v>846.59801796363922</v>
      </c>
      <c r="M8" s="108">
        <f ca="1">(K8-L8)/L8</f>
        <v>5.5307428354966756E-2</v>
      </c>
      <c r="N8" s="233">
        <f t="shared" si="0"/>
        <v>1.4457053344052291E-2</v>
      </c>
      <c r="O8" s="45"/>
    </row>
    <row r="9" spans="1:15" ht="18" customHeight="1">
      <c r="K9" s="178">
        <f>+SUM(K6:K8)</f>
        <v>61798.290144317572</v>
      </c>
      <c r="L9" s="177"/>
      <c r="M9" s="177"/>
      <c r="N9" s="188"/>
    </row>
    <row r="10" spans="1:15" ht="18" customHeight="1">
      <c r="K10" s="177"/>
      <c r="L10" s="177"/>
      <c r="M10" s="177"/>
      <c r="N10" s="188"/>
    </row>
    <row r="11" spans="1:15" ht="18" customHeight="1">
      <c r="A11" s="110"/>
      <c r="B11" s="113"/>
      <c r="C11" s="113"/>
      <c r="D11" s="113"/>
      <c r="E11" s="113"/>
      <c r="F11" s="113"/>
      <c r="G11" s="113"/>
      <c r="H11" s="113"/>
      <c r="I11" s="113"/>
      <c r="J11" s="113"/>
      <c r="K11" s="110"/>
      <c r="N11" s="188"/>
    </row>
    <row r="12" spans="1:15" ht="18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0"/>
      <c r="N12" s="188"/>
    </row>
    <row r="13" spans="1:15" ht="18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0"/>
      <c r="N13" s="188"/>
    </row>
    <row r="14" spans="1:15" ht="18" customHeight="1">
      <c r="A14" s="113"/>
      <c r="B14" s="116"/>
      <c r="C14" s="113"/>
      <c r="D14" s="113"/>
      <c r="E14" s="113"/>
      <c r="F14" s="113"/>
      <c r="G14" s="113"/>
      <c r="H14" s="113"/>
      <c r="I14" s="113"/>
      <c r="J14" s="113"/>
      <c r="K14" s="110"/>
    </row>
    <row r="15" spans="1:15" ht="18" customHeight="1">
      <c r="A15" s="113"/>
      <c r="B15" s="93"/>
      <c r="C15" s="93"/>
      <c r="D15" s="93"/>
      <c r="E15" s="93"/>
      <c r="F15" s="93"/>
      <c r="G15" s="93"/>
      <c r="H15" s="93"/>
      <c r="I15" s="93"/>
      <c r="J15" s="93"/>
      <c r="K15" s="110"/>
    </row>
    <row r="16" spans="1:15" ht="18" customHeight="1">
      <c r="A16" s="113"/>
      <c r="B16" s="93"/>
      <c r="C16" s="93"/>
      <c r="D16" s="93"/>
      <c r="E16" s="93"/>
      <c r="F16" s="93"/>
      <c r="G16" s="93"/>
      <c r="H16" s="93"/>
      <c r="I16" s="93"/>
      <c r="J16" s="93"/>
      <c r="K16" s="110"/>
    </row>
    <row r="17" spans="1:11" ht="18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0"/>
    </row>
    <row r="18" spans="1:11" ht="18" customHeigh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ht="18" customHeight="1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ht="18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</row>
    <row r="21" spans="1:11" ht="18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1" ht="18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spans="1:14" s="110" customFormat="1" ht="18" customHeight="1">
      <c r="N33" s="185"/>
    </row>
    <row r="34" spans="1:14" s="110" customFormat="1" ht="18" customHeight="1">
      <c r="N34" s="185"/>
    </row>
    <row r="35" spans="1:14" s="110" customFormat="1" ht="18" customHeight="1">
      <c r="N35" s="185"/>
    </row>
    <row r="36" spans="1:14" s="110" customFormat="1" ht="18" customHeight="1">
      <c r="N36" s="185"/>
    </row>
    <row r="37" spans="1:14" s="110" customFormat="1" ht="18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N37" s="185"/>
    </row>
    <row r="38" spans="1:14" s="110" customFormat="1" ht="18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N38" s="185"/>
    </row>
    <row r="39" spans="1:14" s="110" customFormat="1" ht="18" customHeight="1">
      <c r="A39" s="113"/>
      <c r="B39" s="93"/>
      <c r="C39" s="93"/>
      <c r="D39" s="93"/>
      <c r="E39" s="93"/>
      <c r="F39" s="93"/>
      <c r="G39" s="93"/>
      <c r="H39" s="93"/>
      <c r="I39" s="93"/>
      <c r="J39" s="93"/>
      <c r="N39" s="185"/>
    </row>
    <row r="40" spans="1:14" s="110" customFormat="1" ht="18" customHeight="1">
      <c r="A40" s="113"/>
      <c r="B40" s="93"/>
      <c r="C40" s="93"/>
      <c r="D40" s="93"/>
      <c r="E40" s="93"/>
      <c r="F40" s="93"/>
      <c r="G40" s="93"/>
      <c r="H40" s="93"/>
      <c r="I40" s="93"/>
      <c r="J40" s="93"/>
      <c r="N40" s="185"/>
    </row>
    <row r="41" spans="1:14" s="110" customFormat="1" ht="18" customHeight="1">
      <c r="N41" s="185"/>
    </row>
    <row r="42" spans="1:14" s="110" customFormat="1" ht="18" customHeight="1">
      <c r="N42" s="185"/>
    </row>
    <row r="43" spans="1:14" s="110" customFormat="1" ht="18" customHeight="1">
      <c r="N43" s="185"/>
    </row>
    <row r="44" spans="1:14" s="110" customFormat="1" ht="18" customHeight="1">
      <c r="N44" s="185"/>
    </row>
    <row r="45" spans="1:14" s="110" customFormat="1" ht="18" customHeight="1">
      <c r="N45" s="185"/>
    </row>
    <row r="46" spans="1:14" s="110" customFormat="1" ht="18" customHeight="1">
      <c r="N46" s="185"/>
    </row>
    <row r="47" spans="1:14" s="110" customFormat="1" ht="18" customHeight="1">
      <c r="N47" s="185"/>
    </row>
    <row r="48" spans="1:14" s="110" customFormat="1" ht="18" customHeight="1">
      <c r="N48" s="185"/>
    </row>
    <row r="49" spans="14:14" s="110" customFormat="1" ht="18" customHeight="1">
      <c r="N49" s="185"/>
    </row>
    <row r="50" spans="14:14" s="110" customFormat="1" ht="18" customHeight="1">
      <c r="N50" s="185"/>
    </row>
    <row r="51" spans="14:14" s="110" customFormat="1" ht="18" customHeight="1">
      <c r="N51" s="185"/>
    </row>
    <row r="52" spans="14:14" s="110" customFormat="1" ht="18" customHeight="1">
      <c r="N52" s="185"/>
    </row>
    <row r="53" spans="14:14" s="110" customFormat="1" ht="18" customHeight="1">
      <c r="N53" s="185"/>
    </row>
    <row r="54" spans="14:14" s="110" customFormat="1" ht="18" customHeight="1">
      <c r="N54" s="185"/>
    </row>
    <row r="55" spans="14:14" s="110" customFormat="1" ht="18" customHeight="1">
      <c r="N55" s="185"/>
    </row>
    <row r="56" spans="14:14" s="110" customFormat="1" ht="18" customHeight="1">
      <c r="N56" s="185"/>
    </row>
    <row r="57" spans="14:14" s="110" customFormat="1" ht="18" customHeight="1">
      <c r="N57" s="185"/>
    </row>
    <row r="58" spans="14:14" s="110" customFormat="1" ht="18" customHeight="1">
      <c r="N58" s="185"/>
    </row>
    <row r="59" spans="14:14" s="110" customFormat="1" ht="18" customHeight="1">
      <c r="N59" s="185"/>
    </row>
    <row r="60" spans="14:14" s="110" customFormat="1" ht="18" customHeight="1">
      <c r="N60" s="185"/>
    </row>
    <row r="61" spans="14:14" s="110" customFormat="1" ht="18" customHeight="1">
      <c r="N61" s="185"/>
    </row>
    <row r="62" spans="14:14" s="110" customFormat="1" ht="18" customHeight="1">
      <c r="N62" s="185"/>
    </row>
    <row r="63" spans="14:14" s="110" customFormat="1" ht="18" customHeight="1">
      <c r="N63" s="185"/>
    </row>
    <row r="64" spans="14:14" s="110" customFormat="1">
      <c r="N64" s="185"/>
    </row>
    <row r="65" spans="2:14" s="110" customFormat="1">
      <c r="N65" s="185"/>
    </row>
    <row r="66" spans="2:14" s="110" customFormat="1">
      <c r="N66" s="185"/>
    </row>
    <row r="67" spans="2:14" s="110" customFormat="1">
      <c r="B67" s="115"/>
      <c r="C67" s="115"/>
      <c r="D67" s="115"/>
      <c r="E67" s="115"/>
      <c r="F67" s="115"/>
      <c r="G67" s="115"/>
      <c r="H67" s="115"/>
      <c r="I67" s="115"/>
      <c r="J67" s="115"/>
      <c r="N67" s="185"/>
    </row>
    <row r="68" spans="2:14" s="110" customFormat="1">
      <c r="N68" s="185"/>
    </row>
    <row r="69" spans="2:14" s="110" customFormat="1">
      <c r="N69" s="185"/>
    </row>
    <row r="70" spans="2:14" s="110" customFormat="1">
      <c r="N70" s="185"/>
    </row>
    <row r="71" spans="2:14" s="110" customFormat="1">
      <c r="N71" s="185"/>
    </row>
    <row r="72" spans="2:14" s="110" customFormat="1">
      <c r="N72" s="185"/>
    </row>
    <row r="73" spans="2:14" s="110" customFormat="1">
      <c r="N73" s="185"/>
    </row>
    <row r="74" spans="2:14" s="110" customFormat="1">
      <c r="N74" s="185"/>
    </row>
    <row r="75" spans="2:14" s="110" customFormat="1">
      <c r="N75" s="185"/>
    </row>
    <row r="76" spans="2:14" s="110" customFormat="1">
      <c r="N76" s="185"/>
    </row>
    <row r="77" spans="2:14" s="110" customFormat="1">
      <c r="N77" s="185"/>
    </row>
    <row r="78" spans="2:14" s="110" customFormat="1">
      <c r="N78" s="185"/>
    </row>
    <row r="79" spans="2:14" s="110" customFormat="1">
      <c r="N79" s="185"/>
    </row>
    <row r="80" spans="2:14" s="110" customFormat="1">
      <c r="N80" s="185"/>
    </row>
    <row r="81" spans="14:14" s="110" customFormat="1">
      <c r="N81" s="185"/>
    </row>
    <row r="82" spans="14:14" s="110" customFormat="1">
      <c r="N82" s="185"/>
    </row>
    <row r="83" spans="14:14" s="110" customFormat="1">
      <c r="N83" s="185"/>
    </row>
    <row r="84" spans="14:14" s="110" customFormat="1">
      <c r="N84" s="185"/>
    </row>
    <row r="85" spans="14:14" s="110" customFormat="1">
      <c r="N85" s="185"/>
    </row>
    <row r="86" spans="14:14" s="110" customFormat="1">
      <c r="N86" s="185"/>
    </row>
    <row r="87" spans="14:14" s="110" customFormat="1">
      <c r="N87" s="185"/>
    </row>
    <row r="88" spans="14:14" s="110" customFormat="1">
      <c r="N88" s="185"/>
    </row>
    <row r="89" spans="14:14" s="110" customFormat="1">
      <c r="N89" s="185"/>
    </row>
    <row r="90" spans="14:14" s="110" customFormat="1">
      <c r="N90" s="185"/>
    </row>
    <row r="91" spans="14:14" s="110" customFormat="1">
      <c r="N91" s="185"/>
    </row>
    <row r="92" spans="14:14" s="110" customFormat="1">
      <c r="N92" s="185"/>
    </row>
    <row r="93" spans="14:14" s="110" customFormat="1">
      <c r="N93" s="185"/>
    </row>
    <row r="94" spans="14:14" s="110" customFormat="1">
      <c r="N94" s="185"/>
    </row>
    <row r="95" spans="14:14" s="110" customFormat="1">
      <c r="N95" s="185"/>
    </row>
    <row r="96" spans="14:14" s="110" customFormat="1">
      <c r="N96" s="185"/>
    </row>
    <row r="97" spans="14:14" s="110" customFormat="1">
      <c r="N97" s="185"/>
    </row>
    <row r="98" spans="14:14" s="110" customFormat="1">
      <c r="N98" s="185"/>
    </row>
    <row r="99" spans="14:14" s="110" customFormat="1">
      <c r="N99" s="185"/>
    </row>
    <row r="100" spans="14:14" s="110" customFormat="1">
      <c r="N100" s="185"/>
    </row>
    <row r="101" spans="14:14" s="110" customFormat="1">
      <c r="N101" s="185"/>
    </row>
    <row r="102" spans="14:14" s="110" customFormat="1">
      <c r="N102" s="185"/>
    </row>
    <row r="103" spans="14:14" s="110" customFormat="1">
      <c r="N103" s="185"/>
    </row>
    <row r="104" spans="14:14" s="110" customFormat="1">
      <c r="N104" s="185"/>
    </row>
    <row r="105" spans="14:14" s="110" customFormat="1">
      <c r="N105" s="185"/>
    </row>
    <row r="106" spans="14:14" s="110" customFormat="1">
      <c r="N106" s="185"/>
    </row>
    <row r="107" spans="14:14" s="110" customFormat="1">
      <c r="N107" s="185"/>
    </row>
    <row r="108" spans="14:14" s="110" customFormat="1">
      <c r="N108" s="185"/>
    </row>
    <row r="109" spans="14:14" s="110" customFormat="1">
      <c r="N109" s="185"/>
    </row>
    <row r="110" spans="14:14" s="110" customFormat="1">
      <c r="N110" s="185"/>
    </row>
    <row r="111" spans="14:14" s="110" customFormat="1">
      <c r="N111" s="185"/>
    </row>
    <row r="112" spans="14:14" s="110" customFormat="1">
      <c r="N112" s="185"/>
    </row>
    <row r="113" spans="14:14" s="110" customFormat="1">
      <c r="N113" s="185"/>
    </row>
    <row r="114" spans="14:14" s="110" customFormat="1">
      <c r="N114" s="185"/>
    </row>
    <row r="115" spans="14:14" s="110" customFormat="1">
      <c r="N115" s="185"/>
    </row>
    <row r="116" spans="14:14" s="110" customFormat="1">
      <c r="N116" s="185"/>
    </row>
    <row r="117" spans="14:14" s="110" customFormat="1">
      <c r="N117" s="185"/>
    </row>
    <row r="118" spans="14:14" s="110" customFormat="1">
      <c r="N118" s="185"/>
    </row>
    <row r="119" spans="14:14" s="110" customFormat="1">
      <c r="N119" s="185"/>
    </row>
    <row r="120" spans="14:14" s="110" customFormat="1">
      <c r="N120" s="185"/>
    </row>
    <row r="121" spans="14:14" s="110" customFormat="1">
      <c r="N121" s="185"/>
    </row>
    <row r="122" spans="14:14" s="110" customFormat="1">
      <c r="N122" s="185"/>
    </row>
    <row r="123" spans="14:14" s="110" customFormat="1">
      <c r="N123" s="185"/>
    </row>
    <row r="124" spans="14:14" s="110" customFormat="1">
      <c r="N124" s="185"/>
    </row>
    <row r="125" spans="14:14" s="110" customFormat="1">
      <c r="N125" s="185"/>
    </row>
    <row r="126" spans="14:14" s="110" customFormat="1">
      <c r="N126" s="185"/>
    </row>
    <row r="127" spans="14:14" s="110" customFormat="1">
      <c r="N127" s="185"/>
    </row>
    <row r="128" spans="14:14" s="110" customFormat="1">
      <c r="N128" s="185"/>
    </row>
    <row r="129" spans="14:14" s="110" customFormat="1">
      <c r="N129" s="185"/>
    </row>
    <row r="130" spans="14:14" s="110" customFormat="1">
      <c r="N130" s="185"/>
    </row>
    <row r="131" spans="14:14" s="110" customFormat="1">
      <c r="N131" s="185"/>
    </row>
    <row r="132" spans="14:14" s="110" customFormat="1">
      <c r="N132" s="185"/>
    </row>
    <row r="133" spans="14:14" s="110" customFormat="1">
      <c r="N133" s="185"/>
    </row>
    <row r="134" spans="14:14" s="110" customFormat="1">
      <c r="N134" s="185"/>
    </row>
    <row r="135" spans="14:14" s="110" customFormat="1">
      <c r="N135" s="185"/>
    </row>
    <row r="136" spans="14:14" s="110" customFormat="1">
      <c r="N136" s="185"/>
    </row>
    <row r="137" spans="14:14" s="110" customFormat="1">
      <c r="N137" s="185"/>
    </row>
    <row r="138" spans="14:14" s="110" customFormat="1">
      <c r="N138" s="185"/>
    </row>
    <row r="139" spans="14:14" s="110" customFormat="1">
      <c r="N139" s="185"/>
    </row>
    <row r="140" spans="14:14" s="110" customFormat="1">
      <c r="N140" s="185"/>
    </row>
    <row r="141" spans="14:14" s="110" customFormat="1">
      <c r="N141" s="185"/>
    </row>
    <row r="142" spans="14:14" s="110" customFormat="1">
      <c r="N142" s="185"/>
    </row>
    <row r="143" spans="14:14" s="110" customFormat="1">
      <c r="N143" s="185"/>
    </row>
    <row r="144" spans="14:14" s="110" customFormat="1">
      <c r="N144" s="185"/>
    </row>
    <row r="145" spans="14:14" s="110" customFormat="1">
      <c r="N145" s="185"/>
    </row>
    <row r="146" spans="14:14" s="110" customFormat="1">
      <c r="N146" s="185"/>
    </row>
    <row r="147" spans="14:14" s="110" customFormat="1">
      <c r="N147" s="185"/>
    </row>
    <row r="148" spans="14:14" s="110" customFormat="1">
      <c r="N148" s="185"/>
    </row>
    <row r="149" spans="14:14" s="110" customFormat="1">
      <c r="N149" s="185"/>
    </row>
    <row r="150" spans="14:14" s="110" customFormat="1">
      <c r="N150" s="185"/>
    </row>
    <row r="151" spans="14:14" s="110" customFormat="1">
      <c r="N151" s="185"/>
    </row>
    <row r="152" spans="14:14" s="110" customFormat="1">
      <c r="N152" s="185"/>
    </row>
    <row r="153" spans="14:14" s="110" customFormat="1">
      <c r="N153" s="185"/>
    </row>
    <row r="154" spans="14:14" s="110" customFormat="1">
      <c r="N154" s="185"/>
    </row>
    <row r="155" spans="14:14" s="110" customFormat="1">
      <c r="N155" s="185"/>
    </row>
    <row r="156" spans="14:14" s="110" customFormat="1">
      <c r="N156" s="185"/>
    </row>
    <row r="157" spans="14:14" s="110" customFormat="1">
      <c r="N157" s="185"/>
    </row>
    <row r="158" spans="14:14" s="110" customFormat="1">
      <c r="N158" s="185"/>
    </row>
    <row r="159" spans="14:14" s="110" customFormat="1">
      <c r="N159" s="185"/>
    </row>
    <row r="160" spans="14:14" s="110" customFormat="1">
      <c r="N160" s="185"/>
    </row>
    <row r="161" spans="14:14" s="110" customFormat="1">
      <c r="N161" s="185"/>
    </row>
    <row r="162" spans="14:14" s="110" customFormat="1">
      <c r="N162" s="185"/>
    </row>
    <row r="163" spans="14:14" s="110" customFormat="1">
      <c r="N163" s="185"/>
    </row>
    <row r="164" spans="14:14" s="110" customFormat="1">
      <c r="N164" s="185"/>
    </row>
    <row r="165" spans="14:14" s="110" customFormat="1">
      <c r="N165" s="185"/>
    </row>
    <row r="166" spans="14:14" s="110" customFormat="1">
      <c r="N166" s="185"/>
    </row>
    <row r="167" spans="14:14" s="110" customFormat="1">
      <c r="N167" s="185"/>
    </row>
    <row r="168" spans="14:14" s="110" customFormat="1">
      <c r="N168" s="185"/>
    </row>
    <row r="169" spans="14:14" s="110" customFormat="1">
      <c r="N169" s="185"/>
    </row>
    <row r="170" spans="14:14" s="110" customFormat="1">
      <c r="N170" s="185"/>
    </row>
    <row r="171" spans="14:14" s="110" customFormat="1">
      <c r="N171" s="185"/>
    </row>
    <row r="172" spans="14:14" s="110" customFormat="1">
      <c r="N172" s="185"/>
    </row>
    <row r="173" spans="14:14" s="110" customFormat="1">
      <c r="N173" s="185"/>
    </row>
    <row r="174" spans="14:14" s="110" customFormat="1">
      <c r="N174" s="185"/>
    </row>
    <row r="175" spans="14:14" s="110" customFormat="1">
      <c r="N175" s="185"/>
    </row>
    <row r="176" spans="14:14" s="110" customFormat="1">
      <c r="N176" s="185"/>
    </row>
    <row r="177" spans="14:14" s="110" customFormat="1">
      <c r="N177" s="185"/>
    </row>
    <row r="178" spans="14:14" s="110" customFormat="1">
      <c r="N178" s="185"/>
    </row>
    <row r="179" spans="14:14" s="110" customFormat="1">
      <c r="N179" s="185"/>
    </row>
    <row r="180" spans="14:14" s="110" customFormat="1">
      <c r="N180" s="185"/>
    </row>
    <row r="181" spans="14:14" s="110" customFormat="1">
      <c r="N181" s="185"/>
    </row>
    <row r="182" spans="14:14" s="110" customFormat="1">
      <c r="N182" s="185"/>
    </row>
    <row r="183" spans="14:14" s="110" customFormat="1">
      <c r="N183" s="185"/>
    </row>
    <row r="184" spans="14:14" s="110" customFormat="1">
      <c r="N184" s="185"/>
    </row>
    <row r="185" spans="14:14" s="110" customFormat="1">
      <c r="N185" s="185"/>
    </row>
    <row r="186" spans="14:14" s="110" customFormat="1">
      <c r="N186" s="185"/>
    </row>
    <row r="187" spans="14:14" s="110" customFormat="1">
      <c r="N187" s="185"/>
    </row>
    <row r="188" spans="14:14" s="110" customFormat="1">
      <c r="N188" s="185"/>
    </row>
    <row r="189" spans="14:14" s="110" customFormat="1">
      <c r="N189" s="185"/>
    </row>
    <row r="190" spans="14:14" s="110" customFormat="1">
      <c r="N190" s="185"/>
    </row>
    <row r="191" spans="14:14" s="110" customFormat="1">
      <c r="N191" s="185"/>
    </row>
    <row r="192" spans="14:14" s="110" customFormat="1">
      <c r="N192" s="185"/>
    </row>
    <row r="193" spans="14:14" s="110" customFormat="1">
      <c r="N193" s="185"/>
    </row>
    <row r="194" spans="14:14" s="110" customFormat="1">
      <c r="N194" s="185"/>
    </row>
    <row r="195" spans="14:14" s="110" customFormat="1">
      <c r="N195" s="185"/>
    </row>
    <row r="196" spans="14:14" s="110" customFormat="1">
      <c r="N196" s="185"/>
    </row>
    <row r="197" spans="14:14" s="110" customFormat="1">
      <c r="N197" s="185"/>
    </row>
    <row r="198" spans="14:14" s="110" customFormat="1">
      <c r="N198" s="185"/>
    </row>
    <row r="199" spans="14:14" s="110" customFormat="1">
      <c r="N199" s="185"/>
    </row>
    <row r="200" spans="14:14" s="110" customFormat="1">
      <c r="N200" s="185"/>
    </row>
    <row r="201" spans="14:14" s="110" customFormat="1">
      <c r="N201" s="185"/>
    </row>
    <row r="202" spans="14:14" s="110" customFormat="1">
      <c r="N202" s="185"/>
    </row>
    <row r="203" spans="14:14" s="110" customFormat="1">
      <c r="N203" s="185"/>
    </row>
    <row r="204" spans="14:14" s="110" customFormat="1">
      <c r="N204" s="185"/>
    </row>
    <row r="205" spans="14:14" s="110" customFormat="1">
      <c r="N205" s="185"/>
    </row>
    <row r="206" spans="14:14" s="110" customFormat="1">
      <c r="N206" s="185"/>
    </row>
    <row r="207" spans="14:14" s="110" customFormat="1">
      <c r="N207" s="185"/>
    </row>
    <row r="208" spans="14:14" s="110" customFormat="1">
      <c r="N208" s="185"/>
    </row>
    <row r="209" spans="14:14" s="110" customFormat="1">
      <c r="N209" s="185"/>
    </row>
    <row r="210" spans="14:14" s="110" customFormat="1">
      <c r="N210" s="185"/>
    </row>
    <row r="211" spans="14:14" s="110" customFormat="1">
      <c r="N211" s="185"/>
    </row>
    <row r="212" spans="14:14" s="110" customFormat="1">
      <c r="N212" s="185"/>
    </row>
    <row r="213" spans="14:14" s="110" customFormat="1">
      <c r="N213" s="185"/>
    </row>
    <row r="214" spans="14:14" s="110" customFormat="1">
      <c r="N214" s="185"/>
    </row>
    <row r="215" spans="14:14" s="110" customFormat="1">
      <c r="N215" s="185"/>
    </row>
    <row r="216" spans="14:14" s="110" customFormat="1">
      <c r="N216" s="185"/>
    </row>
    <row r="217" spans="14:14" s="110" customFormat="1">
      <c r="N217" s="185"/>
    </row>
    <row r="218" spans="14:14" s="110" customFormat="1">
      <c r="N218" s="185"/>
    </row>
    <row r="219" spans="14:14" s="110" customFormat="1">
      <c r="N219" s="185"/>
    </row>
    <row r="220" spans="14:14" s="110" customFormat="1">
      <c r="N220" s="185"/>
    </row>
    <row r="221" spans="14:14" s="110" customFormat="1">
      <c r="N221" s="185"/>
    </row>
    <row r="222" spans="14:14" s="110" customFormat="1">
      <c r="N222" s="185"/>
    </row>
    <row r="223" spans="14:14" s="110" customFormat="1">
      <c r="N223" s="185"/>
    </row>
    <row r="224" spans="14:14" s="110" customFormat="1">
      <c r="N224" s="185"/>
    </row>
    <row r="225" spans="14:14" s="110" customFormat="1">
      <c r="N225" s="185"/>
    </row>
    <row r="226" spans="14:14" s="110" customFormat="1">
      <c r="N226" s="185"/>
    </row>
    <row r="227" spans="14:14" s="110" customFormat="1">
      <c r="N227" s="185"/>
    </row>
    <row r="228" spans="14:14" s="110" customFormat="1">
      <c r="N228" s="185"/>
    </row>
    <row r="229" spans="14:14" s="110" customFormat="1">
      <c r="N229" s="185"/>
    </row>
    <row r="230" spans="14:14" s="110" customFormat="1">
      <c r="N230" s="185"/>
    </row>
    <row r="231" spans="14:14" s="110" customFormat="1">
      <c r="N231" s="185"/>
    </row>
    <row r="232" spans="14:14" s="110" customFormat="1">
      <c r="N232" s="185"/>
    </row>
    <row r="233" spans="14:14" s="110" customFormat="1">
      <c r="N233" s="185"/>
    </row>
    <row r="234" spans="14:14" s="110" customFormat="1">
      <c r="N234" s="185"/>
    </row>
    <row r="235" spans="14:14" s="110" customFormat="1">
      <c r="N235" s="185"/>
    </row>
    <row r="236" spans="14:14" s="110" customFormat="1">
      <c r="N236" s="185"/>
    </row>
    <row r="237" spans="14:14" s="110" customFormat="1">
      <c r="N237" s="185"/>
    </row>
    <row r="238" spans="14:14" s="110" customFormat="1">
      <c r="N238" s="185"/>
    </row>
    <row r="239" spans="14:14" s="110" customFormat="1">
      <c r="N239" s="185"/>
    </row>
    <row r="240" spans="14:14" s="110" customFormat="1">
      <c r="N240" s="185"/>
    </row>
    <row r="241" spans="14:14" s="110" customFormat="1">
      <c r="N241" s="185"/>
    </row>
    <row r="242" spans="14:14" s="110" customFormat="1">
      <c r="N242" s="185"/>
    </row>
    <row r="243" spans="14:14" s="110" customFormat="1">
      <c r="N243" s="185"/>
    </row>
    <row r="244" spans="14:14" s="110" customFormat="1">
      <c r="N244" s="185"/>
    </row>
    <row r="245" spans="14:14" s="110" customFormat="1">
      <c r="N245" s="185"/>
    </row>
    <row r="246" spans="14:14" s="110" customFormat="1">
      <c r="N246" s="185"/>
    </row>
    <row r="247" spans="14:14" s="110" customFormat="1">
      <c r="N247" s="185"/>
    </row>
    <row r="248" spans="14:14" s="110" customFormat="1">
      <c r="N248" s="185"/>
    </row>
    <row r="249" spans="14:14" s="110" customFormat="1">
      <c r="N249" s="185"/>
    </row>
    <row r="250" spans="14:14" s="110" customFormat="1">
      <c r="N250" s="185"/>
    </row>
    <row r="251" spans="14:14" s="110" customFormat="1">
      <c r="N251" s="185"/>
    </row>
    <row r="252" spans="14:14" s="110" customFormat="1">
      <c r="N252" s="185"/>
    </row>
    <row r="253" spans="14:14" s="110" customFormat="1">
      <c r="N253" s="185"/>
    </row>
    <row r="254" spans="14:14" s="110" customFormat="1">
      <c r="N254" s="185"/>
    </row>
    <row r="255" spans="14:14" s="110" customFormat="1">
      <c r="N255" s="185"/>
    </row>
    <row r="256" spans="14:14" s="110" customFormat="1">
      <c r="N256" s="185"/>
    </row>
    <row r="257" spans="14:14" s="110" customFormat="1">
      <c r="N257" s="185"/>
    </row>
    <row r="258" spans="14:14" s="110" customFormat="1">
      <c r="N258" s="185"/>
    </row>
    <row r="259" spans="14:14" s="110" customFormat="1">
      <c r="N259" s="185"/>
    </row>
    <row r="260" spans="14:14" s="110" customFormat="1">
      <c r="N260" s="185"/>
    </row>
    <row r="261" spans="14:14" s="110" customFormat="1">
      <c r="N261" s="185"/>
    </row>
    <row r="262" spans="14:14" s="110" customFormat="1">
      <c r="N262" s="185"/>
    </row>
    <row r="263" spans="14:14" s="110" customFormat="1">
      <c r="N263" s="185"/>
    </row>
    <row r="264" spans="14:14" s="110" customFormat="1">
      <c r="N264" s="185"/>
    </row>
    <row r="265" spans="14:14" s="110" customFormat="1">
      <c r="N265" s="185"/>
    </row>
    <row r="266" spans="14:14" s="110" customFormat="1">
      <c r="N266" s="185"/>
    </row>
    <row r="267" spans="14:14" s="110" customFormat="1">
      <c r="N267" s="185"/>
    </row>
    <row r="268" spans="14:14" s="110" customFormat="1">
      <c r="N268" s="185"/>
    </row>
    <row r="269" spans="14:14" s="110" customFormat="1">
      <c r="N269" s="185"/>
    </row>
    <row r="270" spans="14:14" s="110" customFormat="1">
      <c r="N270" s="185"/>
    </row>
    <row r="271" spans="14:14" s="110" customFormat="1">
      <c r="N271" s="185"/>
    </row>
    <row r="272" spans="14:14" s="110" customFormat="1">
      <c r="N272" s="185"/>
    </row>
    <row r="273" spans="14:14" s="110" customFormat="1">
      <c r="N273" s="185"/>
    </row>
    <row r="274" spans="14:14" s="110" customFormat="1">
      <c r="N274" s="185"/>
    </row>
    <row r="275" spans="14:14" s="110" customFormat="1">
      <c r="N275" s="185"/>
    </row>
    <row r="276" spans="14:14" s="110" customFormat="1">
      <c r="N276" s="185"/>
    </row>
    <row r="277" spans="14:14" s="110" customFormat="1">
      <c r="N277" s="185"/>
    </row>
    <row r="278" spans="14:14" s="110" customFormat="1">
      <c r="N278" s="185"/>
    </row>
    <row r="279" spans="14:14" s="110" customFormat="1">
      <c r="N279" s="185"/>
    </row>
    <row r="280" spans="14:14" s="110" customFormat="1">
      <c r="N280" s="185"/>
    </row>
    <row r="281" spans="14:14" s="110" customFormat="1">
      <c r="N281" s="185"/>
    </row>
    <row r="282" spans="14:14" s="110" customFormat="1">
      <c r="N282" s="185"/>
    </row>
    <row r="283" spans="14:14" s="110" customFormat="1">
      <c r="N283" s="185"/>
    </row>
    <row r="284" spans="14:14" s="110" customFormat="1">
      <c r="N284" s="185"/>
    </row>
    <row r="285" spans="14:14" s="110" customFormat="1">
      <c r="N285" s="185"/>
    </row>
    <row r="286" spans="14:14" s="110" customFormat="1">
      <c r="N286" s="185"/>
    </row>
    <row r="287" spans="14:14" s="110" customFormat="1">
      <c r="N287" s="185"/>
    </row>
    <row r="288" spans="14:14" s="110" customFormat="1">
      <c r="N288" s="185"/>
    </row>
    <row r="289" spans="14:14" s="110" customFormat="1">
      <c r="N289" s="185"/>
    </row>
    <row r="290" spans="14:14" s="110" customFormat="1">
      <c r="N290" s="185"/>
    </row>
    <row r="291" spans="14:14" s="110" customFormat="1">
      <c r="N291" s="185"/>
    </row>
    <row r="292" spans="14:14" s="110" customFormat="1">
      <c r="N292" s="185"/>
    </row>
    <row r="293" spans="14:14" s="110" customFormat="1">
      <c r="N293" s="185"/>
    </row>
    <row r="294" spans="14:14" s="110" customFormat="1">
      <c r="N294" s="185"/>
    </row>
    <row r="295" spans="14:14" s="110" customFormat="1">
      <c r="N295" s="185"/>
    </row>
    <row r="296" spans="14:14" s="110" customFormat="1">
      <c r="N296" s="185"/>
    </row>
    <row r="297" spans="14:14" s="110" customFormat="1">
      <c r="N297" s="185"/>
    </row>
    <row r="298" spans="14:14" s="110" customFormat="1">
      <c r="N298" s="185"/>
    </row>
    <row r="299" spans="14:14" s="110" customFormat="1">
      <c r="N299" s="185"/>
    </row>
    <row r="300" spans="14:14" s="110" customFormat="1">
      <c r="N300" s="185"/>
    </row>
    <row r="301" spans="14:14" s="110" customFormat="1">
      <c r="N301" s="185"/>
    </row>
    <row r="302" spans="14:14" s="110" customFormat="1">
      <c r="N302" s="185"/>
    </row>
    <row r="303" spans="14:14" s="110" customFormat="1">
      <c r="N303" s="185"/>
    </row>
    <row r="304" spans="14:14" s="110" customFormat="1">
      <c r="N304" s="185"/>
    </row>
    <row r="305" spans="14:14" s="110" customFormat="1">
      <c r="N305" s="185"/>
    </row>
    <row r="306" spans="14:14" s="110" customFormat="1">
      <c r="N306" s="185"/>
    </row>
    <row r="307" spans="14:14" s="110" customFormat="1">
      <c r="N307" s="185"/>
    </row>
    <row r="308" spans="14:14" s="110" customFormat="1">
      <c r="N308" s="185"/>
    </row>
    <row r="309" spans="14:14" s="110" customFormat="1">
      <c r="N309" s="185"/>
    </row>
    <row r="310" spans="14:14" s="110" customFormat="1">
      <c r="N310" s="185"/>
    </row>
    <row r="311" spans="14:14" s="110" customFormat="1">
      <c r="N311" s="185"/>
    </row>
    <row r="312" spans="14:14" s="110" customFormat="1">
      <c r="N312" s="185"/>
    </row>
    <row r="313" spans="14:14" s="110" customFormat="1">
      <c r="N313" s="185"/>
    </row>
    <row r="314" spans="14:14" s="110" customFormat="1">
      <c r="N314" s="185"/>
    </row>
    <row r="315" spans="14:14" s="110" customFormat="1">
      <c r="N315" s="185"/>
    </row>
    <row r="316" spans="14:14" s="110" customFormat="1">
      <c r="N316" s="185"/>
    </row>
    <row r="317" spans="14:14" s="110" customFormat="1">
      <c r="N317" s="185"/>
    </row>
    <row r="318" spans="14:14" s="110" customFormat="1">
      <c r="N318" s="185"/>
    </row>
    <row r="319" spans="14:14" s="110" customFormat="1">
      <c r="N319" s="185"/>
    </row>
  </sheetData>
  <pageMargins left="0.74803149606299213" right="0.74803149606299213" top="0.98425196850393704" bottom="0.98425196850393704" header="0" footer="0"/>
  <pageSetup orientation="portrait" horizontalDpi="360" verticalDpi="360" r:id="rId1"/>
  <headerFooter alignWithMargins="0">
    <oddFooter>&amp;L© Alacero 2014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Z103"/>
  <sheetViews>
    <sheetView tabSelected="1" topLeftCell="B1" zoomScale="85" zoomScaleNormal="85" zoomScaleSheetLayoutView="90" workbookViewId="0">
      <pane xSplit="1" topLeftCell="H1" activePane="topRight" state="frozen"/>
      <selection activeCell="B1" sqref="B1"/>
      <selection pane="topRight" activeCell="P16" sqref="P16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19" width="11.42578125" style="2"/>
    <col min="20" max="20" width="13.140625" style="2" bestFit="1" customWidth="1"/>
    <col min="21" max="22" width="11.42578125" style="2"/>
    <col min="23" max="25" width="11.42578125" style="76"/>
    <col min="26" max="26" width="11.42578125" style="82"/>
    <col min="27" max="16384" width="11.42578125" style="2"/>
  </cols>
  <sheetData>
    <row r="1" spans="2:26" s="8" customFormat="1" ht="38.25" customHeight="1" thickBot="1">
      <c r="B1" s="22" t="s">
        <v>187</v>
      </c>
      <c r="P1" s="87" t="s">
        <v>111</v>
      </c>
      <c r="W1" s="75"/>
      <c r="X1" s="75"/>
      <c r="Y1" s="75"/>
      <c r="Z1" s="80"/>
    </row>
    <row r="2" spans="2:26" ht="30" customHeight="1" thickTop="1">
      <c r="B2" s="33" t="s">
        <v>36</v>
      </c>
      <c r="C2" s="21" t="s">
        <v>23</v>
      </c>
      <c r="D2" s="158" t="s">
        <v>27</v>
      </c>
      <c r="E2" s="158" t="s">
        <v>28</v>
      </c>
      <c r="F2" s="158" t="s">
        <v>26</v>
      </c>
      <c r="G2" s="158" t="s">
        <v>22</v>
      </c>
      <c r="H2" s="158" t="s">
        <v>29</v>
      </c>
      <c r="I2" s="158" t="s">
        <v>30</v>
      </c>
      <c r="J2" s="158" t="s">
        <v>31</v>
      </c>
      <c r="K2" s="158" t="s">
        <v>32</v>
      </c>
      <c r="L2" s="158" t="s">
        <v>33</v>
      </c>
      <c r="M2" s="158" t="s">
        <v>24</v>
      </c>
      <c r="N2" s="158" t="s">
        <v>34</v>
      </c>
      <c r="O2" s="158" t="s">
        <v>35</v>
      </c>
      <c r="P2" s="158" t="s">
        <v>25</v>
      </c>
      <c r="S2" s="36" t="s">
        <v>198</v>
      </c>
      <c r="Y2" s="77"/>
      <c r="Z2" s="81"/>
    </row>
    <row r="3" spans="2:26" ht="18" customHeight="1" thickBot="1">
      <c r="B3" s="259" t="s">
        <v>0</v>
      </c>
      <c r="C3" s="29" t="s">
        <v>65</v>
      </c>
      <c r="D3" s="34">
        <f>+'Producción Laminados 2018'!D3+'Impo 2018'!D3-'Expo 2018'!D3</f>
        <v>135.18300000000002</v>
      </c>
      <c r="E3" s="171">
        <f>+'Producción Laminados 2018'!E3+'Impo 2018'!E3-'Expo 2018'!E3</f>
        <v>175.94</v>
      </c>
      <c r="F3" s="171">
        <f>+'Producción Laminados 2018'!F3+'Impo 2018'!F3-'Expo 2018'!F3</f>
        <v>201.16800000000001</v>
      </c>
      <c r="G3" s="171">
        <f>+'Producción Laminados 2018'!G3+'Impo 2018'!G3-'Expo 2018'!G3</f>
        <v>200.29999999999998</v>
      </c>
      <c r="H3" s="171">
        <f>+'Producción Laminados 2018'!H3+'Impo 2018'!H3-'Expo 2018'!H3</f>
        <v>173.44399999999999</v>
      </c>
      <c r="I3" s="171">
        <f>+'Producción Laminados 2018'!I3+'Impo 2018'!I3-'Expo 2018'!I3</f>
        <v>150.46200000000002</v>
      </c>
      <c r="J3" s="171">
        <f>+'Producción Laminados 2018'!J3+'Impo 2018'!J3-'Expo 2018'!J3</f>
        <v>154.12100000000001</v>
      </c>
      <c r="K3" s="171">
        <f>+'Producción Laminados 2018'!K3+'Impo 2018'!K3-'Expo 2018'!K3</f>
        <v>171.428</v>
      </c>
      <c r="L3" s="171">
        <f>+'Producción Laminados 2018'!L3+'Impo 2018'!L3-'Expo 2018'!L3</f>
        <v>145.12400000000002</v>
      </c>
      <c r="M3" s="171">
        <f>+'Producción Laminados 2018'!M3+'Impo 2018'!M3-'Expo 2018'!M3</f>
        <v>135.58800000000002</v>
      </c>
      <c r="N3" s="171">
        <f>+'Producción Laminados 2018'!N3+'Impo 2018'!N3-'Expo 2018'!N3</f>
        <v>166.137</v>
      </c>
      <c r="O3" s="171"/>
      <c r="P3" s="34">
        <f>+SUM(D3:O3)</f>
        <v>1808.8950000000002</v>
      </c>
      <c r="R3" s="14"/>
      <c r="W3" s="78"/>
      <c r="X3" s="78"/>
      <c r="Y3" s="78"/>
    </row>
    <row r="4" spans="2:26" ht="18" customHeight="1" thickTop="1" thickBot="1">
      <c r="B4" s="260"/>
      <c r="C4" s="29" t="s">
        <v>59</v>
      </c>
      <c r="D4" s="34">
        <f>+'Producción Laminados 2018'!D4+'Impo 2018'!D4-'Expo 2018'!D4</f>
        <v>258.15799999999996</v>
      </c>
      <c r="E4" s="171">
        <f>+'Producción Laminados 2018'!E4+'Impo 2018'!E4-'Expo 2018'!E4</f>
        <v>292.62700000000001</v>
      </c>
      <c r="F4" s="171">
        <f>+'Producción Laminados 2018'!F4+'Impo 2018'!F4-'Expo 2018'!F4</f>
        <v>211.16</v>
      </c>
      <c r="G4" s="171">
        <f>+'Producción Laminados 2018'!G4+'Impo 2018'!G4-'Expo 2018'!G4</f>
        <v>235.39699999999999</v>
      </c>
      <c r="H4" s="171">
        <f>+'Producción Laminados 2018'!H4+'Impo 2018'!H4-'Expo 2018'!H4</f>
        <v>255.36500000000001</v>
      </c>
      <c r="I4" s="171">
        <f>+'Producción Laminados 2018'!I4+'Impo 2018'!I4-'Expo 2018'!I4</f>
        <v>187.41399999999999</v>
      </c>
      <c r="J4" s="171">
        <f>+'Producción Laminados 2018'!J4+'Impo 2018'!J4-'Expo 2018'!J4</f>
        <v>206.11</v>
      </c>
      <c r="K4" s="171">
        <f>+'Producción Laminados 2018'!K4+'Impo 2018'!K4-'Expo 2018'!K4</f>
        <v>230.51299999999998</v>
      </c>
      <c r="L4" s="171">
        <f>+'Producción Laminados 2018'!L4+'Impo 2018'!L4-'Expo 2018'!L4</f>
        <v>226.49600000000001</v>
      </c>
      <c r="M4" s="171">
        <f>+'Producción Laminados 2018'!M4+'Impo 2018'!M4-'Expo 2018'!M4</f>
        <v>211.09399999999999</v>
      </c>
      <c r="N4" s="171">
        <f>+'Producción Laminados 2018'!N4+'Impo 2018'!N4-'Expo 2018'!N4</f>
        <v>162.25700000000001</v>
      </c>
      <c r="O4" s="171"/>
      <c r="P4" s="34">
        <f>+SUM(D4:O4)</f>
        <v>2476.5909999999999</v>
      </c>
      <c r="R4" s="14"/>
      <c r="W4" s="78"/>
      <c r="X4" s="78"/>
      <c r="Y4" s="78"/>
    </row>
    <row r="5" spans="2:26" ht="18" customHeight="1" thickTop="1" thickBot="1">
      <c r="B5" s="260"/>
      <c r="C5" s="29" t="s">
        <v>60</v>
      </c>
      <c r="D5" s="34">
        <f>+'Producción Laminados 2018'!D5+'Impo 2018'!D5-'Expo 2018'!D5</f>
        <v>25.768000000000001</v>
      </c>
      <c r="E5" s="171">
        <f>+'Producción Laminados 2018'!E5+'Impo 2018'!E5-'Expo 2018'!E5</f>
        <v>3.3430000000000035</v>
      </c>
      <c r="F5" s="171">
        <f>+'Producción Laminados 2018'!F5+'Impo 2018'!F5-'Expo 2018'!F5</f>
        <v>33.660000000000004</v>
      </c>
      <c r="G5" s="171">
        <f>+'Producción Laminados 2018'!G5+'Impo 2018'!G5-'Expo 2018'!G5</f>
        <v>36.012</v>
      </c>
      <c r="H5" s="171">
        <f>+'Producción Laminados 2018'!H5+'Impo 2018'!H5-'Expo 2018'!H5</f>
        <v>29.098999999999997</v>
      </c>
      <c r="I5" s="171">
        <f>+'Producción Laminados 2018'!I5+'Impo 2018'!I5-'Expo 2018'!I5</f>
        <v>10.635000000000005</v>
      </c>
      <c r="J5" s="171">
        <f>+'Producción Laminados 2018'!J5+'Impo 2018'!J5-'Expo 2018'!J5</f>
        <v>29.039000000000001</v>
      </c>
      <c r="K5" s="171">
        <f>+'Producción Laminados 2018'!K5+'Impo 2018'!K5-'Expo 2018'!K5</f>
        <v>36.868999999999993</v>
      </c>
      <c r="L5" s="171">
        <f>+'Producción Laminados 2018'!L5+'Impo 2018'!L5-'Expo 2018'!L5</f>
        <v>10.472000000000001</v>
      </c>
      <c r="M5" s="171">
        <f>+'Producción Laminados 2018'!M5+'Impo 2018'!M5-'Expo 2018'!M5</f>
        <v>15.288000000000004</v>
      </c>
      <c r="N5" s="171">
        <f>+'Producción Laminados 2018'!N5+'Impo 2018'!N5-'Expo 2018'!N5</f>
        <v>28.264999999999993</v>
      </c>
      <c r="O5" s="171"/>
      <c r="P5" s="34">
        <f>+SUM(D5:O5)</f>
        <v>258.45</v>
      </c>
      <c r="R5" s="14"/>
      <c r="V5" s="3"/>
      <c r="W5" s="79"/>
      <c r="X5" s="79"/>
      <c r="Y5" s="78"/>
    </row>
    <row r="6" spans="2:26" ht="18" customHeight="1" thickTop="1" thickBot="1">
      <c r="B6" s="260"/>
      <c r="C6" s="29" t="s">
        <v>139</v>
      </c>
      <c r="D6" s="52">
        <f t="shared" ref="D6:E6" si="0">+D3+D4+D5</f>
        <v>419.10900000000004</v>
      </c>
      <c r="E6" s="52">
        <f t="shared" si="0"/>
        <v>471.91</v>
      </c>
      <c r="F6" s="52">
        <f t="shared" ref="F6:G6" si="1">+F3+F4+F5</f>
        <v>445.988</v>
      </c>
      <c r="G6" s="52">
        <f t="shared" si="1"/>
        <v>471.709</v>
      </c>
      <c r="H6" s="52">
        <f t="shared" ref="H6:J6" si="2">+H3+H4+H5</f>
        <v>457.90799999999996</v>
      </c>
      <c r="I6" s="52">
        <f t="shared" si="2"/>
        <v>348.51099999999997</v>
      </c>
      <c r="J6" s="52">
        <f t="shared" si="2"/>
        <v>389.27</v>
      </c>
      <c r="K6" s="52">
        <f t="shared" ref="K6:L6" si="3">+K3+K4+K5</f>
        <v>438.80999999999995</v>
      </c>
      <c r="L6" s="52">
        <f t="shared" si="3"/>
        <v>382.09199999999998</v>
      </c>
      <c r="M6" s="52">
        <f t="shared" ref="M6:N6" si="4">+M3+M4+M5</f>
        <v>361.97</v>
      </c>
      <c r="N6" s="52">
        <f t="shared" si="4"/>
        <v>356.65899999999999</v>
      </c>
      <c r="O6" s="52"/>
      <c r="P6" s="34">
        <f>+SUM(D6:O6)</f>
        <v>4543.9359999999997</v>
      </c>
      <c r="R6" s="46"/>
      <c r="S6" s="12">
        <f ca="1">(P6-SUM('Consumo Aparente 2017'!$D6:OFFSET('Consumo Aparente 2017'!$D6,0,Índice!$Y$5)))</f>
        <v>46.805189209999298</v>
      </c>
      <c r="T6" s="57"/>
      <c r="U6" s="12"/>
      <c r="V6" s="3"/>
      <c r="W6" s="79"/>
      <c r="X6" s="79"/>
      <c r="Y6" s="78"/>
    </row>
    <row r="7" spans="2:26" ht="18" customHeight="1" thickTop="1" thickBot="1">
      <c r="B7" s="260"/>
      <c r="C7" s="32" t="s">
        <v>179</v>
      </c>
      <c r="D7" s="35">
        <f>+(D6-'Consumo Aparente 2017'!D6)/'Consumo Aparente 2017'!D6</f>
        <v>0.39439782998332668</v>
      </c>
      <c r="E7" s="35">
        <f>+(E6-'Consumo Aparente 2017'!E6)/'Consumo Aparente 2017'!E6</f>
        <v>0.48315898601608098</v>
      </c>
      <c r="F7" s="35">
        <f>+(F6-'Consumo Aparente 2017'!F6)/'Consumo Aparente 2017'!F6</f>
        <v>4.1592418124195646E-2</v>
      </c>
      <c r="G7" s="35">
        <f>+(G6-'Consumo Aparente 2017'!G6)/'Consumo Aparente 2017'!G6</f>
        <v>0.12346975716177468</v>
      </c>
      <c r="H7" s="35">
        <f>+(H6-'Consumo Aparente 2017'!H6)/'Consumo Aparente 2017'!H6</f>
        <v>7.1736515173501533E-2</v>
      </c>
      <c r="I7" s="35">
        <f>+(I6-'Consumo Aparente 2017'!I6)/'Consumo Aparente 2017'!I6</f>
        <v>-0.20318851713147784</v>
      </c>
      <c r="J7" s="35">
        <f>+(J6-'Consumo Aparente 2017'!J6)/'Consumo Aparente 2017'!J6</f>
        <v>-7.2389240506329208E-2</v>
      </c>
      <c r="K7" s="35">
        <f>+(K6-'Consumo Aparente 2017'!K6)/'Consumo Aparente 2017'!K6</f>
        <v>-9.6842092043026601E-2</v>
      </c>
      <c r="L7" s="35">
        <f>+(L6-'Consumo Aparente 2017'!L6)/'Consumo Aparente 2017'!L6</f>
        <v>-0.13139507455186908</v>
      </c>
      <c r="M7" s="35">
        <f>+(M6-'Consumo Aparente 2017'!M6)/'Consumo Aparente 2017'!M6</f>
        <v>-8.7153773327731301E-3</v>
      </c>
      <c r="N7" s="35">
        <f>+(N6-'Consumo Aparente 2017'!N6)/'Consumo Aparente 2017'!N6</f>
        <v>-0.21638314752346929</v>
      </c>
      <c r="O7" s="35">
        <f>+(O6-'Consumo Aparente 2017'!O6)/'Consumo Aparente 2017'!O6</f>
        <v>-1</v>
      </c>
      <c r="P7" s="139">
        <f ca="1">(P6-SUM('Consumo Aparente 2017'!$D6:OFFSET('Consumo Aparente 2017'!$D6,0,Índice!$Y$5)))/SUM('Consumo Aparente 2017'!$D6:OFFSET('Consumo Aparente 2017'!$D6,0,Índice!$Y$5))</f>
        <v>1.0407789139177195E-2</v>
      </c>
      <c r="R7" s="14"/>
      <c r="T7" s="57"/>
      <c r="V7" s="3"/>
      <c r="W7" s="79"/>
      <c r="X7" s="79"/>
      <c r="Y7" s="78"/>
    </row>
    <row r="8" spans="2:26" ht="18" customHeight="1" thickTop="1" thickBot="1">
      <c r="B8" s="260" t="s">
        <v>77</v>
      </c>
      <c r="C8" s="29" t="s">
        <v>65</v>
      </c>
      <c r="D8" s="34">
        <f>+'Impo 2018'!D8-'Expo 2018'!D8</f>
        <v>33.405947469999994</v>
      </c>
      <c r="E8" s="171">
        <f>+'Impo 2018'!E8-'Expo 2018'!E8</f>
        <v>25.769717570000005</v>
      </c>
      <c r="F8" s="171">
        <f>+'Impo 2018'!F8-'Expo 2018'!F8</f>
        <v>30.391078509999993</v>
      </c>
      <c r="G8" s="171">
        <f>+'Impo 2018'!G8-'Expo 2018'!G8</f>
        <v>34.447587449999993</v>
      </c>
      <c r="H8" s="171">
        <f>+'Impo 2018'!H8-'Expo 2018'!H8</f>
        <v>34.691805760000008</v>
      </c>
      <c r="I8" s="171">
        <f>+'Impo 2018'!I8-'Expo 2018'!I8</f>
        <v>34.179364060000012</v>
      </c>
      <c r="J8" s="171">
        <f>+'Impo 2018'!J8-'Expo 2018'!J8</f>
        <v>39.625493179999985</v>
      </c>
      <c r="K8" s="171">
        <f>+'Impo 2018'!K8-'Expo 2018'!K8</f>
        <v>35.999099999999999</v>
      </c>
      <c r="L8" s="171">
        <f>+'Impo 2018'!L8-'Expo 2018'!L8</f>
        <v>35</v>
      </c>
      <c r="M8" s="171">
        <f>+'Impo 2018'!M8-'Expo 2018'!M8</f>
        <v>33</v>
      </c>
      <c r="N8" s="171">
        <f>+'Impo 2018'!N8-'Expo 2018'!N8</f>
        <v>30</v>
      </c>
      <c r="O8" s="171"/>
      <c r="P8" s="34">
        <f>+SUM(D8:O8)</f>
        <v>366.51009399999998</v>
      </c>
      <c r="R8" s="14"/>
      <c r="T8" s="57"/>
      <c r="V8" s="3"/>
      <c r="W8" s="79"/>
      <c r="X8" s="79"/>
      <c r="Y8" s="78"/>
    </row>
    <row r="9" spans="2:26" ht="18" customHeight="1" thickTop="1" thickBot="1">
      <c r="B9" s="260"/>
      <c r="C9" s="29" t="s">
        <v>59</v>
      </c>
      <c r="D9" s="34">
        <f>+'Impo 2018'!D9-'Expo 2018'!D9</f>
        <v>7.9218805500000009</v>
      </c>
      <c r="E9" s="171">
        <f>+'Impo 2018'!E9-'Expo 2018'!E9</f>
        <v>10.591469419999999</v>
      </c>
      <c r="F9" s="171">
        <f>+'Impo 2018'!F9-'Expo 2018'!F9</f>
        <v>13.064479749999999</v>
      </c>
      <c r="G9" s="171">
        <f>+'Impo 2018'!G9-'Expo 2018'!G9</f>
        <v>11.276849899999998</v>
      </c>
      <c r="H9" s="171">
        <f>+'Impo 2018'!H9-'Expo 2018'!H9</f>
        <v>15.713462960000003</v>
      </c>
      <c r="I9" s="171">
        <f>+'Impo 2018'!I9-'Expo 2018'!I9</f>
        <v>22.328358200000004</v>
      </c>
      <c r="J9" s="171">
        <f>+'Impo 2018'!J9-'Expo 2018'!J9</f>
        <v>13.648198630000003</v>
      </c>
      <c r="K9" s="171">
        <f>+'Impo 2018'!K9-'Expo 2018'!K9</f>
        <v>14</v>
      </c>
      <c r="L9" s="171">
        <f>+'Impo 2018'!L9-'Expo 2018'!L9</f>
        <v>14.998492000000001</v>
      </c>
      <c r="M9" s="171">
        <f>+'Impo 2018'!M9-'Expo 2018'!M9</f>
        <v>14</v>
      </c>
      <c r="N9" s="171">
        <f>+'Impo 2018'!N9-'Expo 2018'!N9</f>
        <v>12</v>
      </c>
      <c r="O9" s="171"/>
      <c r="P9" s="34">
        <f t="shared" ref="P9:P71" si="5">+SUM(D9:O9)</f>
        <v>149.54319140999999</v>
      </c>
      <c r="R9" s="14"/>
      <c r="T9" s="57"/>
      <c r="V9" s="36"/>
      <c r="W9" s="78"/>
      <c r="X9" s="78"/>
      <c r="Y9" s="78"/>
    </row>
    <row r="10" spans="2:26" ht="18" customHeight="1" thickTop="1" thickBot="1">
      <c r="B10" s="260"/>
      <c r="C10" s="29" t="s">
        <v>60</v>
      </c>
      <c r="D10" s="34">
        <f>+'Impo 2018'!D10-'Expo 2018'!D10</f>
        <v>0.88574280000000005</v>
      </c>
      <c r="E10" s="171">
        <f>+'Impo 2018'!E10-'Expo 2018'!E10</f>
        <v>1.0793232300000002</v>
      </c>
      <c r="F10" s="171">
        <f>+'Impo 2018'!F10-'Expo 2018'!F10</f>
        <v>0.80211898999999931</v>
      </c>
      <c r="G10" s="171">
        <f>+'Impo 2018'!G10-'Expo 2018'!G10</f>
        <v>0.20743880999999997</v>
      </c>
      <c r="H10" s="171">
        <f>+'Impo 2018'!H10-'Expo 2018'!H10</f>
        <v>1.4347117300000001</v>
      </c>
      <c r="I10" s="171">
        <f>+'Impo 2018'!I10-'Expo 2018'!I10</f>
        <v>0.30820926000000015</v>
      </c>
      <c r="J10" s="171">
        <f>+'Impo 2018'!J10-'Expo 2018'!J10</f>
        <v>0.46378035000000006</v>
      </c>
      <c r="K10" s="171">
        <f>+'Impo 2018'!K10-'Expo 2018'!K10</f>
        <v>0.99943000000000004</v>
      </c>
      <c r="L10" s="171">
        <f>+'Impo 2018'!L10-'Expo 2018'!L10</f>
        <v>1</v>
      </c>
      <c r="M10" s="171">
        <f>+'Impo 2018'!M10-'Expo 2018'!M10</f>
        <v>1</v>
      </c>
      <c r="N10" s="171">
        <f>+'Impo 2018'!N10-'Expo 2018'!N10</f>
        <v>1</v>
      </c>
      <c r="O10" s="171"/>
      <c r="P10" s="34">
        <f t="shared" si="5"/>
        <v>9.1807551700000012</v>
      </c>
      <c r="R10" s="14"/>
      <c r="T10" s="57"/>
      <c r="V10" s="3"/>
      <c r="W10" s="79"/>
      <c r="X10" s="79"/>
      <c r="Y10" s="78"/>
    </row>
    <row r="11" spans="2:26" ht="18" customHeight="1" thickTop="1" thickBot="1">
      <c r="B11" s="260"/>
      <c r="C11" s="29" t="s">
        <v>139</v>
      </c>
      <c r="D11" s="34">
        <f t="shared" ref="D11:I11" si="6">+D8+D9+D10</f>
        <v>42.213570820000001</v>
      </c>
      <c r="E11" s="171">
        <f t="shared" si="6"/>
        <v>37.440510220000007</v>
      </c>
      <c r="F11" s="171">
        <f t="shared" si="6"/>
        <v>44.257677249999986</v>
      </c>
      <c r="G11" s="171">
        <f t="shared" si="6"/>
        <v>45.931876159999987</v>
      </c>
      <c r="H11" s="171">
        <f t="shared" si="6"/>
        <v>51.839980450000013</v>
      </c>
      <c r="I11" s="171">
        <f t="shared" si="6"/>
        <v>56.815931520000014</v>
      </c>
      <c r="J11" s="171">
        <f t="shared" ref="J11:K11" si="7">+J8+J9+J10</f>
        <v>53.737472159999989</v>
      </c>
      <c r="K11" s="171">
        <f t="shared" si="7"/>
        <v>50.998529999999995</v>
      </c>
      <c r="L11" s="171">
        <f t="shared" ref="L11:M11" si="8">+L8+L9+L10</f>
        <v>50.998491999999999</v>
      </c>
      <c r="M11" s="171">
        <f t="shared" si="8"/>
        <v>48</v>
      </c>
      <c r="N11" s="171">
        <f t="shared" ref="N11" si="9">+N8+N9+N10</f>
        <v>43</v>
      </c>
      <c r="O11" s="52"/>
      <c r="P11" s="34">
        <f t="shared" si="5"/>
        <v>525.23404058000006</v>
      </c>
      <c r="R11" s="46"/>
      <c r="S11" s="12">
        <f ca="1">(P11-SUM('Consumo Aparente 2017'!$D11:OFFSET('Consumo Aparente 2017'!$D11,0,Índice!$Y$5)))</f>
        <v>38.20613158000009</v>
      </c>
      <c r="T11" s="57"/>
      <c r="U11" s="12"/>
      <c r="V11" s="3"/>
      <c r="W11" s="79"/>
      <c r="X11" s="79"/>
      <c r="Y11" s="78"/>
    </row>
    <row r="12" spans="2:26" ht="18" customHeight="1" thickTop="1" thickBot="1">
      <c r="B12" s="260"/>
      <c r="C12" s="32" t="s">
        <v>179</v>
      </c>
      <c r="D12" s="35">
        <f>+(D11-'Consumo Aparente 2017'!D11)/'Consumo Aparente 2017'!D11</f>
        <v>-0.22830684029798867</v>
      </c>
      <c r="E12" s="35">
        <f>+(E11-'Consumo Aparente 2017'!E11)/'Consumo Aparente 2017'!E11</f>
        <v>-3.9730460465980756E-2</v>
      </c>
      <c r="F12" s="35">
        <f>+(F11-'Consumo Aparente 2017'!F11)/'Consumo Aparente 2017'!F11</f>
        <v>-0.23385771051641929</v>
      </c>
      <c r="G12" s="35">
        <f>+(G11-'Consumo Aparente 2017'!G11)/'Consumo Aparente 2017'!G11</f>
        <v>7.8563658973367381E-2</v>
      </c>
      <c r="H12" s="35">
        <f>+(H11-'Consumo Aparente 2017'!H11)/'Consumo Aparente 2017'!H11</f>
        <v>2.8442707961305394E-2</v>
      </c>
      <c r="I12" s="35">
        <f>+(I11-'Consumo Aparente 2017'!I11)/'Consumo Aparente 2017'!I11</f>
        <v>1.0061123976741015</v>
      </c>
      <c r="J12" s="35">
        <f>+(J11-'Consumo Aparente 2017'!J11)/'Consumo Aparente 2017'!J11</f>
        <v>0.66739677744243053</v>
      </c>
      <c r="K12" s="35">
        <f>+(K11-'Consumo Aparente 2017'!K11)/'Consumo Aparente 2017'!K11</f>
        <v>-4.371980622443903E-2</v>
      </c>
      <c r="L12" s="35">
        <f>+(L11-'Consumo Aparente 2017'!L11)/'Consumo Aparente 2017'!L11</f>
        <v>0.5371780458732468</v>
      </c>
      <c r="M12" s="35">
        <f>+(M11-'Consumo Aparente 2017'!M11)/'Consumo Aparente 2017'!M11</f>
        <v>-0.13901476346559952</v>
      </c>
      <c r="N12" s="35">
        <f>+(N11-'Consumo Aparente 2017'!N11)/'Consumo Aparente 2017'!N11</f>
        <v>8.1223419013309747E-2</v>
      </c>
      <c r="O12" s="35">
        <f>+(O11-'Consumo Aparente 2017'!O11)/'Consumo Aparente 2017'!O11</f>
        <v>-1</v>
      </c>
      <c r="P12" s="139">
        <f ca="1">(P11-SUM('Consumo Aparente 2017'!$D11:OFFSET('Consumo Aparente 2017'!$D11,0,Índice!$Y$5)))/SUM('Consumo Aparente 2017'!$D11:OFFSET('Consumo Aparente 2017'!$D11,0,Índice!$Y$5))</f>
        <v>7.8447519893567519E-2</v>
      </c>
      <c r="Q12" s="35"/>
      <c r="R12" s="14"/>
      <c r="T12" s="57"/>
      <c r="W12" s="78"/>
      <c r="X12" s="78"/>
      <c r="Y12" s="78"/>
    </row>
    <row r="13" spans="2:26" ht="18" customHeight="1" thickTop="1" thickBot="1">
      <c r="B13" s="260" t="s">
        <v>42</v>
      </c>
      <c r="C13" s="29" t="s">
        <v>65</v>
      </c>
      <c r="D13" s="34">
        <f>+'Producción Laminados 2018'!D8+'Impo 2018'!D13-'Expo 2018'!D13</f>
        <v>583.43899999999996</v>
      </c>
      <c r="E13" s="171">
        <f>+'Producción Laminados 2018'!E8+'Impo 2018'!E13-'Expo 2018'!E13</f>
        <v>654.95899999999995</v>
      </c>
      <c r="F13" s="171">
        <f>+'Producción Laminados 2018'!F8+'Impo 2018'!F13-'Expo 2018'!F13</f>
        <v>715.11</v>
      </c>
      <c r="G13" s="171">
        <f>+'Producción Laminados 2018'!G8+'Impo 2018'!G13-'Expo 2018'!G13</f>
        <v>632.40600000000006</v>
      </c>
      <c r="H13" s="171">
        <f>+'Producción Laminados 2018'!H8+'Impo 2018'!H13-'Expo 2018'!H13</f>
        <v>639.423</v>
      </c>
      <c r="I13" s="171">
        <f>+'Producción Laminados 2018'!I8+'Impo 2018'!I13-'Expo 2018'!I13</f>
        <v>643.90300000000002</v>
      </c>
      <c r="J13" s="171">
        <f>+'Producción Laminados 2018'!J8+'Impo 2018'!J13-'Expo 2018'!J13</f>
        <v>692.40699999999993</v>
      </c>
      <c r="K13" s="171">
        <f>+'Producción Laminados 2018'!K8+'Impo 2018'!K13-'Expo 2018'!K13</f>
        <v>672.87699999999995</v>
      </c>
      <c r="L13" s="171">
        <f>+'Producción Laminados 2018'!L8+'Impo 2018'!L13-'Expo 2018'!L13</f>
        <v>686.27700000000004</v>
      </c>
      <c r="M13" s="171">
        <f>+'Producción Laminados 2018'!M8+'Impo 2018'!M13-'Expo 2018'!M13</f>
        <v>690.87800000000004</v>
      </c>
      <c r="N13" s="171">
        <f>+'Producción Laminados 2018'!N8+'Impo 2018'!N13-'Expo 2018'!N13</f>
        <v>664.60799999999995</v>
      </c>
      <c r="O13" s="171"/>
      <c r="P13" s="34">
        <f>+SUM(D13:O13)</f>
        <v>7276.2869999999994</v>
      </c>
      <c r="R13" s="14"/>
      <c r="T13" s="57"/>
      <c r="V13" s="3"/>
      <c r="W13" s="79"/>
      <c r="X13" s="79"/>
      <c r="Y13" s="78"/>
    </row>
    <row r="14" spans="2:26" ht="18" customHeight="1" thickTop="1" thickBot="1">
      <c r="B14" s="260"/>
      <c r="C14" s="29" t="s">
        <v>59</v>
      </c>
      <c r="D14" s="34">
        <f>+'Producción Laminados 2018'!D9+'Impo 2018'!D14-'Expo 2018'!D14</f>
        <v>1016.7789999999999</v>
      </c>
      <c r="E14" s="171">
        <f>+'Producción Laminados 2018'!E9+'Impo 2018'!E14-'Expo 2018'!E14</f>
        <v>910.65600000000006</v>
      </c>
      <c r="F14" s="171">
        <f>+'Producción Laminados 2018'!F9+'Impo 2018'!F14-'Expo 2018'!F14</f>
        <v>1105.047</v>
      </c>
      <c r="G14" s="171">
        <f>+'Producción Laminados 2018'!G9+'Impo 2018'!G14-'Expo 2018'!G14</f>
        <v>1179.269</v>
      </c>
      <c r="H14" s="171">
        <f>+'Producción Laminados 2018'!H9+'Impo 2018'!H14-'Expo 2018'!H14</f>
        <v>1196.454</v>
      </c>
      <c r="I14" s="171">
        <f>+'Producción Laminados 2018'!I9+'Impo 2018'!I14-'Expo 2018'!I14</f>
        <v>1048.0810000000001</v>
      </c>
      <c r="J14" s="171">
        <f>+'Producción Laminados 2018'!J9+'Impo 2018'!J14-'Expo 2018'!J14</f>
        <v>1136.9880000000001</v>
      </c>
      <c r="K14" s="171">
        <f>+'Producción Laminados 2018'!K9+'Impo 2018'!K14-'Expo 2018'!K14</f>
        <v>884.17200000000003</v>
      </c>
      <c r="L14" s="171">
        <f>+'Producción Laminados 2018'!L9+'Impo 2018'!L14-'Expo 2018'!L14</f>
        <v>1330.539</v>
      </c>
      <c r="M14" s="171">
        <f>+'Producción Laminados 2018'!M9+'Impo 2018'!M14-'Expo 2018'!M14</f>
        <v>1092.2180000000001</v>
      </c>
      <c r="N14" s="171">
        <f>+'Producción Laminados 2018'!N9+'Impo 2018'!N14-'Expo 2018'!N14</f>
        <v>1120.5229999999999</v>
      </c>
      <c r="O14" s="171"/>
      <c r="P14" s="34">
        <f t="shared" si="5"/>
        <v>12020.726000000001</v>
      </c>
      <c r="R14" s="14"/>
      <c r="T14" s="57"/>
      <c r="V14" s="3"/>
      <c r="W14" s="79"/>
      <c r="X14" s="79"/>
      <c r="Y14" s="78"/>
    </row>
    <row r="15" spans="2:26" ht="18" customHeight="1" thickTop="1" thickBot="1">
      <c r="B15" s="260"/>
      <c r="C15" s="29" t="s">
        <v>60</v>
      </c>
      <c r="D15" s="34"/>
      <c r="E15" s="171"/>
      <c r="F15" s="171"/>
      <c r="G15" s="171"/>
      <c r="H15" s="171"/>
      <c r="I15" s="171"/>
      <c r="J15" s="171"/>
      <c r="K15" s="171"/>
      <c r="L15" s="171"/>
      <c r="M15" s="34"/>
      <c r="N15" s="171"/>
      <c r="O15" s="171"/>
      <c r="P15" s="34">
        <f t="shared" si="5"/>
        <v>0</v>
      </c>
      <c r="R15" s="14"/>
      <c r="T15" s="57"/>
      <c r="W15" s="78"/>
      <c r="X15" s="78"/>
      <c r="Y15" s="78"/>
    </row>
    <row r="16" spans="2:26" ht="18" customHeight="1" thickTop="1" thickBot="1">
      <c r="B16" s="260"/>
      <c r="C16" s="29" t="s">
        <v>139</v>
      </c>
      <c r="D16" s="34">
        <v>1633</v>
      </c>
      <c r="E16" s="171">
        <v>1572</v>
      </c>
      <c r="F16" s="52">
        <v>1797</v>
      </c>
      <c r="G16" s="52">
        <v>1696</v>
      </c>
      <c r="H16" s="52">
        <v>1360</v>
      </c>
      <c r="I16" s="52">
        <v>2001</v>
      </c>
      <c r="J16" s="52">
        <v>1840</v>
      </c>
      <c r="K16" s="52">
        <v>1889</v>
      </c>
      <c r="L16" s="52">
        <v>1826</v>
      </c>
      <c r="M16" s="52">
        <v>1716</v>
      </c>
      <c r="N16" s="52">
        <v>1710</v>
      </c>
      <c r="O16" s="52"/>
      <c r="P16" s="34">
        <f t="shared" si="5"/>
        <v>19040</v>
      </c>
      <c r="R16" s="46"/>
      <c r="S16" s="12">
        <f ca="1">(P16-SUM('Consumo Aparente 2017'!$D16:OFFSET('Consumo Aparente 2017'!$D16,0,Índice!$Y$5)))</f>
        <v>1419</v>
      </c>
      <c r="T16" s="57"/>
      <c r="U16" s="12"/>
      <c r="V16" s="3"/>
      <c r="W16" s="79"/>
      <c r="X16" s="79"/>
      <c r="Y16" s="78"/>
    </row>
    <row r="17" spans="2:26" ht="18" customHeight="1" thickTop="1" thickBot="1">
      <c r="B17" s="260"/>
      <c r="C17" s="32" t="s">
        <v>179</v>
      </c>
      <c r="D17" s="35">
        <f>+(D16-'Consumo Aparente 2017'!D16)/'Consumo Aparente 2017'!D16</f>
        <v>0.12620689655172415</v>
      </c>
      <c r="E17" s="35">
        <f>+(E16-'Consumo Aparente 2017'!E16)/'Consumo Aparente 2017'!E16</f>
        <v>0.12446351931330472</v>
      </c>
      <c r="F17" s="35">
        <f>+(F16-'Consumo Aparente 2017'!F16)/'Consumo Aparente 2017'!F16</f>
        <v>4.5983701979045402E-2</v>
      </c>
      <c r="G17" s="35">
        <f>+(G16-'Consumo Aparente 2017'!G16)/'Consumo Aparente 2017'!G16</f>
        <v>0.25536639526276833</v>
      </c>
      <c r="H17" s="35">
        <f>+(H16-'Consumo Aparente 2017'!H16)/'Consumo Aparente 2017'!H16</f>
        <v>-0.15580384854127871</v>
      </c>
      <c r="I17" s="35">
        <f>+(I16-'Consumo Aparente 2017'!I16)/'Consumo Aparente 2017'!I16</f>
        <v>0.18753709198813057</v>
      </c>
      <c r="J17" s="35">
        <f>+(J16-'Consumo Aparente 2017'!J16)/'Consumo Aparente 2017'!J16</f>
        <v>0.12126751980499695</v>
      </c>
      <c r="K17" s="35">
        <f>+(K16-'Consumo Aparente 2017'!K16)/'Consumo Aparente 2017'!K16</f>
        <v>8.3763625932300634E-2</v>
      </c>
      <c r="L17" s="35">
        <f>+(L16-'Consumo Aparente 2017'!L16)/'Consumo Aparente 2017'!L16</f>
        <v>3.1638418079096044E-2</v>
      </c>
      <c r="M17" s="35">
        <f>+(M16-'Consumo Aparente 2017'!M16)/'Consumo Aparente 2017'!M16</f>
        <v>3.6858006042296075E-2</v>
      </c>
      <c r="N17" s="35">
        <f>+(N16-'Consumo Aparente 2017'!N16)/'Consumo Aparente 2017'!N16</f>
        <v>6.9418386491557224E-2</v>
      </c>
      <c r="O17" s="35">
        <f>+(O16-'Consumo Aparente 2017'!O16)/'Consumo Aparente 2017'!O16</f>
        <v>-1</v>
      </c>
      <c r="P17" s="139">
        <f ca="1">(P16-SUM('Consumo Aparente 2017'!$D16:OFFSET('Consumo Aparente 2017'!$D16,0,Índice!$Y$5)))/SUM('Consumo Aparente 2017'!$D16:OFFSET('Consumo Aparente 2017'!$D16,0,Índice!$Y$5))</f>
        <v>8.0528914363543494E-2</v>
      </c>
      <c r="R17" s="14"/>
      <c r="W17" s="78"/>
      <c r="X17" s="78"/>
      <c r="Y17" s="78"/>
    </row>
    <row r="18" spans="2:26" ht="18" customHeight="1" thickTop="1" thickBot="1">
      <c r="B18" s="260" t="s">
        <v>1</v>
      </c>
      <c r="C18" s="29" t="s">
        <v>65</v>
      </c>
      <c r="D18" s="34">
        <f>+'Producción Laminados 2018'!D13+'Impo 2018'!D18-'Expo 2018'!D18</f>
        <v>120.89635139999872</v>
      </c>
      <c r="E18" s="171">
        <f>+'Producción Laminados 2018'!E13+'Impo 2018'!E18-'Expo 2018'!E18</f>
        <v>106.98890352000001</v>
      </c>
      <c r="F18" s="171">
        <f>+'Producción Laminados 2018'!F13+'Impo 2018'!F18-'Expo 2018'!F18</f>
        <v>128.72696424999998</v>
      </c>
      <c r="G18" s="171">
        <f>+'Producción Laminados 2018'!G13+'Impo 2018'!G18-'Expo 2018'!G18</f>
        <v>98.347536120000015</v>
      </c>
      <c r="H18" s="171">
        <f>+'Producción Laminados 2018'!H13+'Impo 2018'!H18-'Expo 2018'!H18</f>
        <v>109.51868042000012</v>
      </c>
      <c r="I18" s="171">
        <f>+'Producción Laminados 2018'!I13+'Impo 2018'!I18-'Expo 2018'!I18</f>
        <v>108.69172445000018</v>
      </c>
      <c r="J18" s="171">
        <f>+'Producción Laminados 2018'!J13+'Impo 2018'!J18-'Expo 2018'!J18</f>
        <v>82.870857559999351</v>
      </c>
      <c r="K18" s="171">
        <f>+'Producción Laminados 2018'!K13+'Impo 2018'!K18-'Expo 2018'!K18</f>
        <v>148.47133157000007</v>
      </c>
      <c r="L18" s="171">
        <f>+'Producción Laminados 2018'!L13+'Impo 2018'!L18-'Expo 2018'!L18</f>
        <v>109.61065135999826</v>
      </c>
      <c r="M18" s="171">
        <f>+'Producción Laminados 2018'!M13+'Impo 2018'!M18-'Expo 2018'!M18</f>
        <v>127.27149542000008</v>
      </c>
      <c r="N18" s="171">
        <f>+'Producción Laminados 2018'!N13+'Impo 2018'!N18-'Expo 2018'!N18</f>
        <v>107.11545814000057</v>
      </c>
      <c r="O18" s="171"/>
      <c r="P18" s="34">
        <f>+SUM(D18:O18)</f>
        <v>1248.5099542099972</v>
      </c>
      <c r="R18" s="45"/>
      <c r="W18" s="78"/>
      <c r="X18" s="78"/>
      <c r="Y18" s="78"/>
    </row>
    <row r="19" spans="2:26" ht="18" customHeight="1" thickTop="1" thickBot="1">
      <c r="B19" s="260"/>
      <c r="C19" s="29" t="s">
        <v>59</v>
      </c>
      <c r="D19" s="34">
        <f>+'Producción Laminados 2018'!D14+'Impo 2018'!D19-'Expo 2018'!D19</f>
        <v>111.55368116999999</v>
      </c>
      <c r="E19" s="171">
        <f>+'Producción Laminados 2018'!E14+'Impo 2018'!E19-'Expo 2018'!E19</f>
        <v>107.15048401</v>
      </c>
      <c r="F19" s="171">
        <f>+'Producción Laminados 2018'!F14+'Impo 2018'!F19-'Expo 2018'!F19</f>
        <v>97.990937810000048</v>
      </c>
      <c r="G19" s="171">
        <f>+'Producción Laminados 2018'!G14+'Impo 2018'!G19-'Expo 2018'!G19</f>
        <v>119.86114109</v>
      </c>
      <c r="H19" s="171">
        <f>+'Producción Laminados 2018'!H14+'Impo 2018'!H19-'Expo 2018'!H19</f>
        <v>121.16906737000004</v>
      </c>
      <c r="I19" s="171">
        <f>+'Producción Laminados 2018'!I14+'Impo 2018'!I19-'Expo 2018'!I19</f>
        <v>120.30825843999999</v>
      </c>
      <c r="J19" s="171">
        <f>+'Producción Laminados 2018'!J14+'Impo 2018'!J19-'Expo 2018'!J19</f>
        <v>32.705673360000006</v>
      </c>
      <c r="K19" s="171">
        <f>+'Producción Laminados 2018'!K14+'Impo 2018'!K19-'Expo 2018'!K19</f>
        <v>159.00663572999997</v>
      </c>
      <c r="L19" s="171">
        <f>+'Producción Laminados 2018'!L14+'Impo 2018'!L19-'Expo 2018'!L19</f>
        <v>83.945091969999993</v>
      </c>
      <c r="M19" s="171">
        <f>+'Producción Laminados 2018'!M14+'Impo 2018'!M19-'Expo 2018'!M19</f>
        <v>118.95641675999998</v>
      </c>
      <c r="N19" s="171">
        <f>+'Producción Laminados 2018'!N14+'Impo 2018'!N19-'Expo 2018'!N19</f>
        <v>83.305148779999968</v>
      </c>
      <c r="O19" s="171"/>
      <c r="P19" s="34">
        <f t="shared" si="5"/>
        <v>1155.9525364900001</v>
      </c>
      <c r="R19" s="14"/>
      <c r="W19" s="78"/>
      <c r="X19" s="78"/>
      <c r="Y19" s="78"/>
    </row>
    <row r="20" spans="2:26" ht="18" customHeight="1" thickTop="1" thickBot="1">
      <c r="B20" s="260"/>
      <c r="C20" s="29" t="s">
        <v>60</v>
      </c>
      <c r="D20" s="34">
        <f>+'Producción Laminados 2018'!D15+'Impo 2018'!D20-'Expo 2018'!D20</f>
        <v>2.6258777099999997</v>
      </c>
      <c r="E20" s="171">
        <f>+'Producción Laminados 2018'!E15+'Impo 2018'!E20-'Expo 2018'!E20</f>
        <v>1.5422105800000001</v>
      </c>
      <c r="F20" s="171">
        <f>+'Producción Laminados 2018'!F15+'Impo 2018'!F20-'Expo 2018'!F20</f>
        <v>2.0388604500000005</v>
      </c>
      <c r="G20" s="171">
        <f>+'Producción Laminados 2018'!G15+'Impo 2018'!G20-'Expo 2018'!G20</f>
        <v>0.94733639999999963</v>
      </c>
      <c r="H20" s="171">
        <f>+'Producción Laminados 2018'!H15+'Impo 2018'!H20-'Expo 2018'!H20</f>
        <v>2.0026322899999998</v>
      </c>
      <c r="I20" s="171">
        <f>+'Producción Laminados 2018'!I15+'Impo 2018'!I20-'Expo 2018'!I20</f>
        <v>3.8161905699999976</v>
      </c>
      <c r="J20" s="171">
        <f>+'Producción Laminados 2018'!J15+'Impo 2018'!J20-'Expo 2018'!J20</f>
        <v>0.92995271000000046</v>
      </c>
      <c r="K20" s="171">
        <f>+'Producción Laminados 2018'!K15+'Impo 2018'!K20-'Expo 2018'!K20</f>
        <v>3.0972061999999991</v>
      </c>
      <c r="L20" s="171">
        <f>+'Producción Laminados 2018'!L15+'Impo 2018'!L20-'Expo 2018'!L20</f>
        <v>1.7902515400000001</v>
      </c>
      <c r="M20" s="171">
        <f>+'Producción Laminados 2018'!M15+'Impo 2018'!M20-'Expo 2018'!M20</f>
        <v>2.2843749000000009</v>
      </c>
      <c r="N20" s="171">
        <f>+'Producción Laminados 2018'!N15+'Impo 2018'!N20-'Expo 2018'!N20</f>
        <v>2.3424267099999998</v>
      </c>
      <c r="O20" s="171"/>
      <c r="P20" s="34">
        <f t="shared" si="5"/>
        <v>23.417320059999994</v>
      </c>
      <c r="R20" s="14"/>
      <c r="V20" s="3"/>
      <c r="W20" s="79"/>
      <c r="X20" s="79"/>
      <c r="Y20" s="78"/>
    </row>
    <row r="21" spans="2:26" ht="18" customHeight="1" thickTop="1" thickBot="1">
      <c r="B21" s="260"/>
      <c r="C21" s="29" t="s">
        <v>139</v>
      </c>
      <c r="D21" s="34">
        <f t="shared" ref="D21:I21" si="10">+D18+D19+D20</f>
        <v>235.07591027999871</v>
      </c>
      <c r="E21" s="171">
        <f t="shared" si="10"/>
        <v>215.68159811000001</v>
      </c>
      <c r="F21" s="171">
        <f t="shared" si="10"/>
        <v>228.75676251000002</v>
      </c>
      <c r="G21" s="171">
        <f t="shared" si="10"/>
        <v>219.15601361000003</v>
      </c>
      <c r="H21" s="171">
        <f t="shared" si="10"/>
        <v>232.69038008000018</v>
      </c>
      <c r="I21" s="171">
        <f t="shared" si="10"/>
        <v>232.81617346000019</v>
      </c>
      <c r="J21" s="171">
        <f t="shared" ref="J21:K21" si="11">+J18+J19+J20</f>
        <v>116.50648362999935</v>
      </c>
      <c r="K21" s="171">
        <f t="shared" si="11"/>
        <v>310.57517350000006</v>
      </c>
      <c r="L21" s="171">
        <f t="shared" ref="L21:M21" si="12">+L18+L19+L20</f>
        <v>195.34599486999826</v>
      </c>
      <c r="M21" s="171">
        <f t="shared" si="12"/>
        <v>248.51228708000005</v>
      </c>
      <c r="N21" s="171">
        <f t="shared" ref="N21" si="13">+N18+N19+N20</f>
        <v>192.76303363000054</v>
      </c>
      <c r="O21" s="52"/>
      <c r="P21" s="34">
        <f t="shared" si="5"/>
        <v>2427.8798107599973</v>
      </c>
      <c r="R21" s="14"/>
      <c r="S21" s="12">
        <f ca="1">(P21-SUM('Consumo Aparente 2017'!$D21:OFFSET('Consumo Aparente 2017'!$D21,0,Índice!$Y$5)))</f>
        <v>-21.837972589999481</v>
      </c>
      <c r="U21" s="12"/>
      <c r="Y21" s="78"/>
    </row>
    <row r="22" spans="2:26" ht="18" customHeight="1" thickTop="1" thickBot="1">
      <c r="B22" s="260"/>
      <c r="C22" s="32" t="s">
        <v>179</v>
      </c>
      <c r="D22" s="35">
        <f>+(D21-'Consumo Aparente 2017'!D21)/'Consumo Aparente 2017'!D21</f>
        <v>5.3376984054975055E-2</v>
      </c>
      <c r="E22" s="35">
        <f>+(E21-'Consumo Aparente 2017'!E21)/'Consumo Aparente 2017'!E21</f>
        <v>0.15738129190587433</v>
      </c>
      <c r="F22" s="35">
        <f>+(F21-'Consumo Aparente 2017'!F21)/'Consumo Aparente 2017'!F21</f>
        <v>-0.1926942520356669</v>
      </c>
      <c r="G22" s="35">
        <f>+(G21-'Consumo Aparente 2017'!G21)/'Consumo Aparente 2017'!G21</f>
        <v>1.6847217857101769E-2</v>
      </c>
      <c r="H22" s="35">
        <f>+(H21-'Consumo Aparente 2017'!H21)/'Consumo Aparente 2017'!H21</f>
        <v>-5.0162531765396014E-2</v>
      </c>
      <c r="I22" s="35">
        <f>+(I21-'Consumo Aparente 2017'!I21)/'Consumo Aparente 2017'!I21</f>
        <v>3.3233629235252256E-2</v>
      </c>
      <c r="J22" s="35">
        <f>+(J21-'Consumo Aparente 2017'!J21)/'Consumo Aparente 2017'!J21</f>
        <v>-0.41741091285603693</v>
      </c>
      <c r="K22" s="35">
        <f>+(K21-'Consumo Aparente 2017'!K21)/'Consumo Aparente 2017'!K21</f>
        <v>0.45501158652567586</v>
      </c>
      <c r="L22" s="35">
        <f>+(L21-'Consumo Aparente 2017'!L21)/'Consumo Aparente 2017'!L21</f>
        <v>-0.10681172766227544</v>
      </c>
      <c r="M22" s="35">
        <f>+(M21-'Consumo Aparente 2017'!M21)/'Consumo Aparente 2017'!M21</f>
        <v>0.24058279473016542</v>
      </c>
      <c r="N22" s="35">
        <f>+(N21-'Consumo Aparente 2017'!N21)/'Consumo Aparente 2017'!N21</f>
        <v>-0.1919470235629642</v>
      </c>
      <c r="O22" s="35">
        <f>+(O21-'Consumo Aparente 2017'!O21)/'Consumo Aparente 2017'!O21</f>
        <v>-1</v>
      </c>
      <c r="P22" s="139">
        <f ca="1">(P21-SUM('Consumo Aparente 2017'!$D21:OFFSET('Consumo Aparente 2017'!$D21,0,Índice!$Y$5)))/SUM('Consumo Aparente 2017'!$D21:OFFSET('Consumo Aparente 2017'!$D21,0,Índice!$Y$5))</f>
        <v>-8.9144850637186395E-3</v>
      </c>
      <c r="R22" s="14"/>
      <c r="Y22" s="78"/>
    </row>
    <row r="23" spans="2:26" ht="18" customHeight="1" thickTop="1" thickBot="1">
      <c r="B23" s="260" t="s">
        <v>2</v>
      </c>
      <c r="C23" s="29" t="s">
        <v>65</v>
      </c>
      <c r="D23" s="171">
        <f>+'Producción Laminados 2018'!D18+'Impo 2018'!D23-'Expo 2018'!D23</f>
        <v>152.69396569</v>
      </c>
      <c r="E23" s="171">
        <f>+'Producción Laminados 2018'!E18+'Impo 2018'!E23-'Expo 2018'!E23</f>
        <v>204.97522625600001</v>
      </c>
      <c r="F23" s="171">
        <f>+'Producción Laminados 2018'!F18+'Impo 2018'!F23-'Expo 2018'!F23</f>
        <v>149.04884582</v>
      </c>
      <c r="G23" s="171">
        <f>+'Producción Laminados 2018'!G18+'Impo 2018'!G23-'Expo 2018'!G23</f>
        <v>192.21503405999999</v>
      </c>
      <c r="H23" s="171">
        <f>+'Producción Laminados 2018'!H18+'Impo 2018'!H23-'Expo 2018'!H23</f>
        <v>223.78451071999999</v>
      </c>
      <c r="I23" s="171">
        <f>+'Producción Laminados 2018'!I18+'Impo 2018'!I23-'Expo 2018'!I23</f>
        <v>205.31439836999999</v>
      </c>
      <c r="J23" s="171">
        <f>+'Producción Laminados 2018'!J18+'Impo 2018'!J23-'Expo 2018'!J23</f>
        <v>206.92889350000002</v>
      </c>
      <c r="K23" s="171">
        <f>+'Producción Laminados 2018'!K18+'Impo 2018'!K23-'Expo 2018'!K23</f>
        <v>198.23769371999998</v>
      </c>
      <c r="L23" s="171">
        <f>+'Producción Laminados 2018'!L18+'Impo 2018'!L23-'Expo 2018'!L23</f>
        <v>186.13374012</v>
      </c>
      <c r="M23" s="170">
        <f>+'Producción Laminados 2018'!M18+'Impo 2018'!M23-'Expo 2018'!M23</f>
        <v>180.18634</v>
      </c>
      <c r="N23" s="170">
        <f>+'Producción Laminados 2018'!N18+'Impo 2018'!N23-'Expo 2018'!N23</f>
        <v>141.09850086</v>
      </c>
      <c r="O23" s="171"/>
      <c r="P23" s="34">
        <f>+SUM(D23:O23)</f>
        <v>2040.6171491160001</v>
      </c>
      <c r="R23" s="14"/>
      <c r="Y23" s="78"/>
    </row>
    <row r="24" spans="2:26" ht="18" customHeight="1" thickTop="1" thickBot="1">
      <c r="B24" s="260"/>
      <c r="C24" s="29" t="s">
        <v>59</v>
      </c>
      <c r="D24" s="171">
        <v>109.22582452999998</v>
      </c>
      <c r="E24" s="171">
        <v>70.493692929999995</v>
      </c>
      <c r="F24" s="171">
        <v>115.36568606</v>
      </c>
      <c r="G24" s="171">
        <v>94.320273660000012</v>
      </c>
      <c r="H24" s="171">
        <v>130.60109517000001</v>
      </c>
      <c r="I24" s="171">
        <v>105.29297625000004</v>
      </c>
      <c r="J24" s="171">
        <v>106.13433817999996</v>
      </c>
      <c r="K24" s="171">
        <v>115.74361467999996</v>
      </c>
      <c r="L24" s="171">
        <v>89.632728959999994</v>
      </c>
      <c r="M24" s="170">
        <v>102</v>
      </c>
      <c r="N24" s="170">
        <v>104</v>
      </c>
      <c r="O24" s="171"/>
      <c r="P24" s="34">
        <f t="shared" si="5"/>
        <v>1142.8102304199999</v>
      </c>
      <c r="R24" s="14"/>
      <c r="Y24" s="78"/>
    </row>
    <row r="25" spans="2:26" ht="18" customHeight="1" thickTop="1" thickBot="1">
      <c r="B25" s="260"/>
      <c r="C25" s="29" t="s">
        <v>60</v>
      </c>
      <c r="D25" s="171">
        <f>+'Producción Laminados 2018'!D20+'Impo 2018'!D25-'Expo 2018'!D25</f>
        <v>10.004067360000001</v>
      </c>
      <c r="E25" s="171">
        <f>+'Producción Laminados 2018'!E20+'Impo 2018'!E25-'Expo 2018'!E25</f>
        <v>18.124023319999992</v>
      </c>
      <c r="F25" s="171">
        <f>+'Producción Laminados 2018'!F20+'Impo 2018'!F25-'Expo 2018'!F25</f>
        <v>16.437011689999988</v>
      </c>
      <c r="G25" s="171">
        <f>+'Producción Laminados 2018'!G20+'Impo 2018'!G25-'Expo 2018'!G25</f>
        <v>13.504094939999995</v>
      </c>
      <c r="H25" s="171">
        <f>+'Producción Laminados 2018'!H20+'Impo 2018'!H25-'Expo 2018'!H25</f>
        <v>12.372131639999999</v>
      </c>
      <c r="I25" s="171">
        <f>+'Producción Laminados 2018'!I20+'Impo 2018'!I25-'Expo 2018'!I25</f>
        <v>11.008646259999999</v>
      </c>
      <c r="J25" s="171">
        <f>+'Producción Laminados 2018'!J20+'Impo 2018'!J25-'Expo 2018'!J25</f>
        <v>18.972387910000005</v>
      </c>
      <c r="K25" s="171">
        <f>+'Producción Laminados 2018'!K20+'Impo 2018'!K25-'Expo 2018'!K25</f>
        <v>4.5208731100000037</v>
      </c>
      <c r="L25" s="171">
        <f>+'Producción Laminados 2018'!L20+'Impo 2018'!L25-'Expo 2018'!L25</f>
        <v>21.068410759999999</v>
      </c>
      <c r="M25" s="170">
        <f>+'Producción Laminados 2018'!M20+'Impo 2018'!M25-'Expo 2018'!M25</f>
        <v>22.13273228000001</v>
      </c>
      <c r="N25" s="170">
        <f>+'Producción Laminados 2018'!N20+'Impo 2018'!N25-'Expo 2018'!N25</f>
        <v>16.709991370000008</v>
      </c>
      <c r="O25" s="171"/>
      <c r="P25" s="34">
        <f t="shared" si="5"/>
        <v>164.85437063999998</v>
      </c>
      <c r="R25" s="14"/>
      <c r="Y25" s="78"/>
    </row>
    <row r="26" spans="2:26" ht="18" customHeight="1" thickTop="1" thickBot="1">
      <c r="B26" s="260"/>
      <c r="C26" s="29" t="s">
        <v>139</v>
      </c>
      <c r="D26" s="52">
        <f t="shared" ref="D26:E26" si="14">+D23+D24+D25</f>
        <v>271.92385758</v>
      </c>
      <c r="E26" s="52">
        <f t="shared" si="14"/>
        <v>293.59294250599999</v>
      </c>
      <c r="F26" s="52">
        <f t="shared" ref="F26:G26" si="15">+F23+F24+F25</f>
        <v>280.85154356999999</v>
      </c>
      <c r="G26" s="52">
        <f t="shared" si="15"/>
        <v>300.03940266000001</v>
      </c>
      <c r="H26" s="52">
        <f t="shared" ref="H26:I26" si="16">+H23+H24+H25</f>
        <v>366.75773752999999</v>
      </c>
      <c r="I26" s="52">
        <f t="shared" si="16"/>
        <v>321.61602088000001</v>
      </c>
      <c r="J26" s="52">
        <f t="shared" ref="J26:L26" si="17">+J23+J24+J25</f>
        <v>332.03561958999995</v>
      </c>
      <c r="K26" s="52">
        <f t="shared" si="17"/>
        <v>318.50218150999996</v>
      </c>
      <c r="L26" s="52">
        <f t="shared" si="17"/>
        <v>296.83487983999999</v>
      </c>
      <c r="M26" s="53">
        <f t="shared" ref="M26:N26" si="18">+M23+M24+M25</f>
        <v>304.31907228</v>
      </c>
      <c r="N26" s="53">
        <f t="shared" si="18"/>
        <v>261.80849223000001</v>
      </c>
      <c r="O26" s="52"/>
      <c r="P26" s="34">
        <f t="shared" si="5"/>
        <v>3348.2817501759996</v>
      </c>
      <c r="R26" s="14"/>
      <c r="S26" s="12">
        <f ca="1">(P26-SUM('Consumo Aparente 2017'!$D26:OFFSET('Consumo Aparente 2017'!$D26,0,Índice!$Y$5)))</f>
        <v>60.680869715999961</v>
      </c>
      <c r="U26" s="12"/>
      <c r="Y26" s="78"/>
    </row>
    <row r="27" spans="2:26" ht="18" customHeight="1" thickTop="1" thickBot="1">
      <c r="B27" s="260"/>
      <c r="C27" s="32" t="s">
        <v>179</v>
      </c>
      <c r="D27" s="35">
        <f>+(D26-'Consumo Aparente 2017'!D26)/'Consumo Aparente 2017'!D26</f>
        <v>-0.12948405858973702</v>
      </c>
      <c r="E27" s="35">
        <f>+(E26-'Consumo Aparente 2017'!E26)/'Consumo Aparente 2017'!E26</f>
        <v>1.2645867021775881E-2</v>
      </c>
      <c r="F27" s="35">
        <f>+(F26-'Consumo Aparente 2017'!F26)/'Consumo Aparente 2017'!F26</f>
        <v>-0.20591610869979501</v>
      </c>
      <c r="G27" s="35">
        <f>+(G26-'Consumo Aparente 2017'!G26)/'Consumo Aparente 2017'!G26</f>
        <v>-2.03554915605373E-3</v>
      </c>
      <c r="H27" s="35">
        <f>+(H26-'Consumo Aparente 2017'!H26)/'Consumo Aparente 2017'!H26</f>
        <v>0.38806982523426992</v>
      </c>
      <c r="I27" s="35">
        <f>+(I26-'Consumo Aparente 2017'!I26)/'Consumo Aparente 2017'!I26</f>
        <v>9.5265322356699794E-2</v>
      </c>
      <c r="J27" s="35">
        <f>+(J26-'Consumo Aparente 2017'!J26)/'Consumo Aparente 2017'!J26</f>
        <v>8.5898454207248745E-2</v>
      </c>
      <c r="K27" s="35">
        <f>+(K26-'Consumo Aparente 2017'!K26)/'Consumo Aparente 2017'!K26</f>
        <v>-8.5127762274094812E-2</v>
      </c>
      <c r="L27" s="35">
        <f>+(L26-'Consumo Aparente 2017'!L26)/'Consumo Aparente 2017'!L26</f>
        <v>-4.0607768420250906E-2</v>
      </c>
      <c r="M27" s="172">
        <f>+(M26-'Consumo Aparente 2017'!M26)/'Consumo Aparente 2017'!M26</f>
        <v>9.3591753083707846E-2</v>
      </c>
      <c r="N27" s="172">
        <f>+(N26-'Consumo Aparente 2017'!N26)/'Consumo Aparente 2017'!N26</f>
        <v>0.13079518332648687</v>
      </c>
      <c r="O27" s="35">
        <f>+(O26-'Consumo Aparente 2017'!O26)/'Consumo Aparente 2017'!O26</f>
        <v>-1</v>
      </c>
      <c r="P27" s="139">
        <f ca="1">(P26-SUM('Consumo Aparente 2017'!$D26:OFFSET('Consumo Aparente 2017'!$D26,0,Índice!$Y$5)))/SUM('Consumo Aparente 2017'!$D26:OFFSET('Consumo Aparente 2017'!$D26,0,Índice!$Y$5))</f>
        <v>1.8457492841256789E-2</v>
      </c>
      <c r="R27" s="14"/>
      <c r="Y27" s="78"/>
    </row>
    <row r="28" spans="2:26" s="3" customFormat="1" ht="18" customHeight="1" thickTop="1" thickBot="1">
      <c r="B28" s="260" t="s">
        <v>5</v>
      </c>
      <c r="C28" s="29" t="s">
        <v>65</v>
      </c>
      <c r="D28" s="171">
        <f>+'Producción Laminados 2018'!D23+'Impo 2018'!D28-'Expo 2018'!D28</f>
        <v>30.638676</v>
      </c>
      <c r="E28" s="171">
        <f>+'Producción Laminados 2018'!E23+'Impo 2018'!E28-'Expo 2018'!E28</f>
        <v>43.766967000000001</v>
      </c>
      <c r="F28" s="171">
        <f>+'Producción Laminados 2018'!F23+'Impo 2018'!F28-'Expo 2018'!F28</f>
        <v>33.072904999999999</v>
      </c>
      <c r="G28" s="171">
        <f>+'Producción Laminados 2018'!G23+'Impo 2018'!G28-'Expo 2018'!G28</f>
        <v>46.211398000000003</v>
      </c>
      <c r="H28" s="171">
        <f>+'Producción Laminados 2018'!H23+'Impo 2018'!H28-'Expo 2018'!H28</f>
        <v>57.566994000000008</v>
      </c>
      <c r="I28" s="170">
        <f>+'Producción Laminados 2018'!I23+'Impo 2018'!I28-'Expo 2018'!I28</f>
        <v>32.691241000000005</v>
      </c>
      <c r="J28" s="170">
        <f>+'Producción Laminados 2018'!J23+'Impo 2018'!J28-'Expo 2018'!J28</f>
        <v>39.272295999999997</v>
      </c>
      <c r="K28" s="170">
        <f>+'Producción Laminados 2018'!K23+'Impo 2018'!K28-'Expo 2018'!K28</f>
        <v>55.490418000000005</v>
      </c>
      <c r="L28" s="170">
        <f>+'Producción Laminados 2018'!L23+'Impo 2018'!L28-'Expo 2018'!L28</f>
        <v>34.994629000000003</v>
      </c>
      <c r="M28" s="170">
        <f>+'Producción Laminados 2018'!M23+'Impo 2018'!M28-'Expo 2018'!M28</f>
        <v>43.28</v>
      </c>
      <c r="N28" s="170">
        <f>+'Producción Laminados 2018'!N23+'Impo 2018'!N28-'Expo 2018'!N28</f>
        <v>41.24</v>
      </c>
      <c r="O28" s="170"/>
      <c r="P28" s="34">
        <f>+SUM(D28:O28)</f>
        <v>458.22552399999995</v>
      </c>
      <c r="R28" s="44"/>
      <c r="S28" s="2"/>
      <c r="U28" s="2"/>
      <c r="Y28" s="79"/>
      <c r="Z28" s="83"/>
    </row>
    <row r="29" spans="2:26" s="3" customFormat="1" ht="18" customHeight="1" thickTop="1" thickBot="1">
      <c r="B29" s="260"/>
      <c r="C29" s="29" t="s">
        <v>59</v>
      </c>
      <c r="D29" s="171">
        <f>+'Producción Laminados 2018'!D24+'Impo 2018'!D29-'Expo 2018'!D29</f>
        <v>39.587781</v>
      </c>
      <c r="E29" s="171">
        <f>+'Producción Laminados 2018'!E24+'Impo 2018'!E29-'Expo 2018'!E29</f>
        <v>18.579433999999999</v>
      </c>
      <c r="F29" s="171">
        <f>+'Producción Laminados 2018'!F24+'Impo 2018'!F29-'Expo 2018'!F29</f>
        <v>14.982533</v>
      </c>
      <c r="G29" s="171">
        <f>+'Producción Laminados 2018'!G24+'Impo 2018'!G29-'Expo 2018'!G29</f>
        <v>30.455393000000001</v>
      </c>
      <c r="H29" s="171">
        <f>+'Producción Laminados 2018'!H24+'Impo 2018'!H29-'Expo 2018'!H29</f>
        <v>25.817119000000002</v>
      </c>
      <c r="I29" s="170">
        <f>+'Producción Laminados 2018'!I24+'Impo 2018'!I29-'Expo 2018'!I29</f>
        <v>4.6469170000000002</v>
      </c>
      <c r="J29" s="170">
        <f>+'Producción Laminados 2018'!J24+'Impo 2018'!J29-'Expo 2018'!J29</f>
        <v>17.097647000000002</v>
      </c>
      <c r="K29" s="170">
        <f>+'Producción Laminados 2018'!K24+'Impo 2018'!K29-'Expo 2018'!K29</f>
        <v>13.837358000000002</v>
      </c>
      <c r="L29" s="170">
        <f>+'Producción Laminados 2018'!L24+'Impo 2018'!L29-'Expo 2018'!L29</f>
        <v>21.448267999999999</v>
      </c>
      <c r="M29" s="170">
        <f>+'Producción Laminados 2018'!M24+'Impo 2018'!M29-'Expo 2018'!M29</f>
        <v>18</v>
      </c>
      <c r="N29" s="170">
        <f>+'Producción Laminados 2018'!N24+'Impo 2018'!N29-'Expo 2018'!N29</f>
        <v>21</v>
      </c>
      <c r="O29" s="170"/>
      <c r="P29" s="34">
        <f t="shared" si="5"/>
        <v>225.45245</v>
      </c>
      <c r="R29" s="44"/>
      <c r="S29" s="2"/>
      <c r="U29" s="2"/>
      <c r="Y29" s="79"/>
      <c r="Z29" s="83"/>
    </row>
    <row r="30" spans="2:26" s="3" customFormat="1" ht="18" customHeight="1" thickTop="1" thickBot="1">
      <c r="B30" s="260"/>
      <c r="C30" s="29" t="s">
        <v>60</v>
      </c>
      <c r="D30" s="171">
        <f>+'Producción Laminados 2018'!D25+'Impo 2018'!D30-'Expo 2018'!D30</f>
        <v>0.34362100000000001</v>
      </c>
      <c r="E30" s="171">
        <f>+'Producción Laminados 2018'!E25+'Impo 2018'!E30-'Expo 2018'!E30</f>
        <v>-1.0833999999999998E-2</v>
      </c>
      <c r="F30" s="171">
        <f>+'Producción Laminados 2018'!F25+'Impo 2018'!F30-'Expo 2018'!F30</f>
        <v>0.110625</v>
      </c>
      <c r="G30" s="171">
        <f>+'Producción Laminados 2018'!G25+'Impo 2018'!G30-'Expo 2018'!G30</f>
        <v>-2.1928900000000002</v>
      </c>
      <c r="H30" s="171">
        <f>+'Producción Laminados 2018'!H25+'Impo 2018'!H30-'Expo 2018'!H30</f>
        <v>-2.8681520000000003</v>
      </c>
      <c r="I30" s="170">
        <f>+'Producción Laminados 2018'!I25+'Impo 2018'!I30-'Expo 2018'!I30</f>
        <v>-3.1842699999999997</v>
      </c>
      <c r="J30" s="170">
        <f>+'Producción Laminados 2018'!J25+'Impo 2018'!J30-'Expo 2018'!J30</f>
        <v>7.5688999999999992E-2</v>
      </c>
      <c r="K30" s="170">
        <f>+'Producción Laminados 2018'!K25+'Impo 2018'!K30-'Expo 2018'!K30</f>
        <v>3.2868000000000001E-2</v>
      </c>
      <c r="L30" s="170">
        <f>+'Producción Laminados 2018'!L25+'Impo 2018'!L30-'Expo 2018'!L30</f>
        <v>0.117036</v>
      </c>
      <c r="M30" s="170">
        <f>+'Producción Laminados 2018'!M25+'Impo 2018'!M30-'Expo 2018'!M30</f>
        <v>0.08</v>
      </c>
      <c r="N30" s="170">
        <f>+'Producción Laminados 2018'!N25+'Impo 2018'!N30-'Expo 2018'!N30</f>
        <v>-0.9</v>
      </c>
      <c r="O30" s="170"/>
      <c r="P30" s="34">
        <f t="shared" si="5"/>
        <v>-8.3963070000000002</v>
      </c>
      <c r="R30" s="44"/>
      <c r="S30" s="2"/>
      <c r="U30" s="2"/>
      <c r="Y30" s="79"/>
      <c r="Z30" s="83"/>
    </row>
    <row r="31" spans="2:26" s="3" customFormat="1" ht="18" customHeight="1" thickTop="1" thickBot="1">
      <c r="B31" s="260"/>
      <c r="C31" s="29" t="s">
        <v>139</v>
      </c>
      <c r="D31" s="52">
        <f t="shared" ref="D31:E31" si="19">+D28+D29+D30</f>
        <v>70.570077999999995</v>
      </c>
      <c r="E31" s="52">
        <f t="shared" si="19"/>
        <v>62.335566999999998</v>
      </c>
      <c r="F31" s="52">
        <f t="shared" ref="F31:G31" si="20">+F28+F29+F30</f>
        <v>48.166062999999994</v>
      </c>
      <c r="G31" s="52">
        <f t="shared" si="20"/>
        <v>74.473900999999998</v>
      </c>
      <c r="H31" s="52">
        <f t="shared" ref="H31:J31" si="21">+H28+H29+H30</f>
        <v>80.515961000000019</v>
      </c>
      <c r="I31" s="53">
        <f t="shared" si="21"/>
        <v>34.153888000000009</v>
      </c>
      <c r="J31" s="53">
        <f t="shared" si="21"/>
        <v>56.445631999999996</v>
      </c>
      <c r="K31" s="53">
        <f t="shared" ref="K31:L31" si="22">+K28+K29+K30</f>
        <v>69.360643999999994</v>
      </c>
      <c r="L31" s="53">
        <f t="shared" si="22"/>
        <v>56.559933000000001</v>
      </c>
      <c r="M31" s="53">
        <f t="shared" ref="M31:N31" si="23">+M28+M29+M30</f>
        <v>61.36</v>
      </c>
      <c r="N31" s="53">
        <f t="shared" si="23"/>
        <v>61.34</v>
      </c>
      <c r="O31" s="53"/>
      <c r="P31" s="34">
        <f t="shared" si="5"/>
        <v>675.28166699999997</v>
      </c>
      <c r="R31" s="44"/>
      <c r="S31" s="12">
        <f ca="1">(P31-SUM('Consumo Aparente 2017'!$D31:OFFSET('Consumo Aparente 2017'!$D31,0,Índice!$Y$5)))</f>
        <v>-82.053119146616154</v>
      </c>
      <c r="T31" s="2"/>
      <c r="U31" s="12"/>
      <c r="Y31" s="79"/>
      <c r="Z31" s="83"/>
    </row>
    <row r="32" spans="2:26" s="3" customFormat="1" ht="18" customHeight="1" thickTop="1" thickBot="1">
      <c r="B32" s="260"/>
      <c r="C32" s="32" t="s">
        <v>179</v>
      </c>
      <c r="D32" s="35">
        <f>+(D31-'Consumo Aparente 2017'!D31)/'Consumo Aparente 2017'!D31</f>
        <v>9.0644697020297982E-2</v>
      </c>
      <c r="E32" s="35">
        <f>+(E31-'Consumo Aparente 2017'!E31)/'Consumo Aparente 2017'!E31</f>
        <v>-0.11638182937289525</v>
      </c>
      <c r="F32" s="35">
        <f>+(F31-'Consumo Aparente 2017'!F31)/'Consumo Aparente 2017'!F31</f>
        <v>-0.3797118084793813</v>
      </c>
      <c r="G32" s="35">
        <f>+(G31-'Consumo Aparente 2017'!G31)/'Consumo Aparente 2017'!G31</f>
        <v>0.18832152654769596</v>
      </c>
      <c r="H32" s="35">
        <f>+(H31-'Consumo Aparente 2017'!H31)/'Consumo Aparente 2017'!H31</f>
        <v>0.22860504544949364</v>
      </c>
      <c r="I32" s="172">
        <f>+(I31-'Consumo Aparente 2017'!I31)/'Consumo Aparente 2017'!I31</f>
        <v>-0.60015355759966527</v>
      </c>
      <c r="J32" s="172">
        <f>+(J31-'Consumo Aparente 2017'!J31)/'Consumo Aparente 2017'!J31</f>
        <v>-2.4066847323360135E-3</v>
      </c>
      <c r="K32" s="172">
        <f>+(K31-'Consumo Aparente 2017'!K31)/'Consumo Aparente 2017'!K31</f>
        <v>0.12920034999389685</v>
      </c>
      <c r="L32" s="172">
        <f>+(L31-'Consumo Aparente 2017'!L31)/'Consumo Aparente 2017'!L31</f>
        <v>-0.17197775314565236</v>
      </c>
      <c r="M32" s="172">
        <f>+(M31-'Consumo Aparente 2017'!M31)/'Consumo Aparente 2017'!M31</f>
        <v>-0.18557491299039763</v>
      </c>
      <c r="N32" s="172">
        <f>+(N31-'Consumo Aparente 2017'!N31)/'Consumo Aparente 2017'!N31</f>
        <v>-0.11299858590521952</v>
      </c>
      <c r="O32" s="35">
        <f>+(O31-'Consumo Aparente 2017'!O31)/'Consumo Aparente 2017'!O31</f>
        <v>-1</v>
      </c>
      <c r="P32" s="139">
        <f ca="1">(P31-SUM('Consumo Aparente 2017'!$D31:OFFSET('Consumo Aparente 2017'!$D31,0,Índice!$Y$5)))/SUM('Consumo Aparente 2017'!$D31:OFFSET('Consumo Aparente 2017'!$D31,0,Índice!$Y$5))</f>
        <v>-0.10834457976519131</v>
      </c>
      <c r="R32" s="44"/>
      <c r="S32" s="2"/>
      <c r="U32" s="2"/>
      <c r="Y32" s="79"/>
      <c r="Z32" s="83"/>
    </row>
    <row r="33" spans="2:26" s="3" customFormat="1" ht="18" customHeight="1" thickTop="1" thickBot="1">
      <c r="B33" s="260" t="s">
        <v>4</v>
      </c>
      <c r="C33" s="29" t="s">
        <v>65</v>
      </c>
      <c r="D33" s="34">
        <f>+'Producción Laminados 2018'!D33+'Impo 2018'!D33-'Expo 2018'!D33</f>
        <v>71.835781049999994</v>
      </c>
      <c r="E33" s="171">
        <f>+'Producción Laminados 2018'!E33+'Impo 2018'!E33-'Expo 2018'!E33</f>
        <v>82.935676619999995</v>
      </c>
      <c r="F33" s="171">
        <f>+'Producción Laminados 2018'!F33+'Impo 2018'!F33-'Expo 2018'!F33</f>
        <v>69.228786729999996</v>
      </c>
      <c r="G33" s="171">
        <f>+'Producción Laminados 2018'!G33+'Impo 2018'!G33-'Expo 2018'!G33</f>
        <v>74.039385530000004</v>
      </c>
      <c r="H33" s="171">
        <f>+'Producción Laminados 2018'!H33+'Impo 2018'!H33-'Expo 2018'!H33</f>
        <v>76.756040680000012</v>
      </c>
      <c r="I33" s="171">
        <f>+'Producción Laminados 2018'!I33+'Impo 2018'!I33-'Expo 2018'!I33</f>
        <v>65.097177840000015</v>
      </c>
      <c r="J33" s="171">
        <f>+'Producción Laminados 2018'!J33+'Impo 2018'!J33-'Expo 2018'!J33</f>
        <v>78.296916599999989</v>
      </c>
      <c r="K33" s="171">
        <f>+'Producción Laminados 2018'!K33+'Impo 2018'!K33-'Expo 2018'!K33</f>
        <v>75.977246100000002</v>
      </c>
      <c r="L33" s="171">
        <f>+'Producción Laminados 2018'!L33+'Impo 2018'!L33-'Expo 2018'!L33</f>
        <v>70.83924153000001</v>
      </c>
      <c r="M33" s="171">
        <f>+'Producción Laminados 2018'!M33+'Impo 2018'!M33-'Expo 2018'!M33</f>
        <v>79.965346650000001</v>
      </c>
      <c r="N33" s="171">
        <f>+'Producción Laminados 2018'!N33+'Impo 2018'!N33-'Expo 2018'!N33</f>
        <v>63.084051240000008</v>
      </c>
      <c r="O33" s="171"/>
      <c r="P33" s="34">
        <f>+SUM(D33:O33)</f>
        <v>808.05565057000001</v>
      </c>
      <c r="R33" s="44"/>
      <c r="S33" s="2"/>
      <c r="U33" s="2"/>
      <c r="Y33" s="79"/>
      <c r="Z33" s="83"/>
    </row>
    <row r="34" spans="2:26" s="3" customFormat="1" ht="18" customHeight="1" thickTop="1" thickBot="1">
      <c r="B34" s="260"/>
      <c r="C34" s="29" t="s">
        <v>59</v>
      </c>
      <c r="D34" s="34">
        <f>+'Producción Laminados 2018'!D34+'Impo 2018'!D34-'Expo 2018'!D34</f>
        <v>85.48218187999997</v>
      </c>
      <c r="E34" s="171">
        <f>+'Producción Laminados 2018'!E34+'Impo 2018'!E34-'Expo 2018'!E34</f>
        <v>71.767902540000023</v>
      </c>
      <c r="F34" s="171">
        <f>+'Producción Laminados 2018'!F34+'Impo 2018'!F34-'Expo 2018'!F34</f>
        <v>68.234694490000052</v>
      </c>
      <c r="G34" s="171">
        <f>+'Producción Laminados 2018'!G34+'Impo 2018'!G34-'Expo 2018'!G34</f>
        <v>103.16476522000006</v>
      </c>
      <c r="H34" s="171">
        <f>+'Producción Laminados 2018'!H34+'Impo 2018'!H34-'Expo 2018'!H34</f>
        <v>75.672689929999976</v>
      </c>
      <c r="I34" s="171">
        <f>+'Producción Laminados 2018'!I34+'Impo 2018'!I34-'Expo 2018'!I34</f>
        <v>56.578477650000011</v>
      </c>
      <c r="J34" s="171">
        <f>+'Producción Laminados 2018'!J34+'Impo 2018'!J34-'Expo 2018'!J34</f>
        <v>65.79249332000002</v>
      </c>
      <c r="K34" s="171">
        <f>+'Producción Laminados 2018'!K34+'Impo 2018'!K34-'Expo 2018'!K34</f>
        <v>77.526747479999926</v>
      </c>
      <c r="L34" s="171">
        <f>+'Producción Laminados 2018'!L34+'Impo 2018'!L34-'Expo 2018'!L34</f>
        <v>41.41612995000002</v>
      </c>
      <c r="M34" s="171">
        <f>+'Producción Laminados 2018'!M34+'Impo 2018'!M34-'Expo 2018'!M34</f>
        <v>57.817521079999985</v>
      </c>
      <c r="N34" s="171">
        <f>+'Producción Laminados 2018'!N34+'Impo 2018'!N34-'Expo 2018'!N34</f>
        <v>70.279494789999973</v>
      </c>
      <c r="O34" s="171"/>
      <c r="P34" s="34">
        <f t="shared" si="5"/>
        <v>773.73309833000008</v>
      </c>
      <c r="R34" s="44"/>
      <c r="S34" s="2"/>
      <c r="U34" s="2"/>
      <c r="Y34" s="79"/>
      <c r="Z34" s="83"/>
    </row>
    <row r="35" spans="2:26" s="3" customFormat="1" ht="18" customHeight="1" thickTop="1" thickBot="1">
      <c r="B35" s="260"/>
      <c r="C35" s="29" t="s">
        <v>60</v>
      </c>
      <c r="D35" s="34">
        <f>+'Producción Laminados 2018'!D35+'Impo 2018'!D35-'Expo 2018'!D35</f>
        <v>3.805159189999999</v>
      </c>
      <c r="E35" s="171">
        <f>+'Producción Laminados 2018'!E35+'Impo 2018'!E35-'Expo 2018'!E35</f>
        <v>3.1563263500000067</v>
      </c>
      <c r="F35" s="171">
        <f>+'Producción Laminados 2018'!F35+'Impo 2018'!F35-'Expo 2018'!F35</f>
        <v>8.1005457900000071</v>
      </c>
      <c r="G35" s="171">
        <f>+'Producción Laminados 2018'!G35+'Impo 2018'!G35-'Expo 2018'!G35</f>
        <v>11.873830610000006</v>
      </c>
      <c r="H35" s="171">
        <f>+'Producción Laminados 2018'!H35+'Impo 2018'!H35-'Expo 2018'!H35</f>
        <v>15.140181230000001</v>
      </c>
      <c r="I35" s="171">
        <f>+'Producción Laminados 2018'!I35+'Impo 2018'!I35-'Expo 2018'!I35</f>
        <v>6.5727138500000004</v>
      </c>
      <c r="J35" s="171">
        <f>+'Producción Laminados 2018'!J35+'Impo 2018'!J35-'Expo 2018'!J35</f>
        <v>12.151088029999991</v>
      </c>
      <c r="K35" s="171">
        <f>+'Producción Laminados 2018'!K35+'Impo 2018'!K35-'Expo 2018'!K35</f>
        <v>8.0459380699999947</v>
      </c>
      <c r="L35" s="171">
        <f>+'Producción Laminados 2018'!L35+'Impo 2018'!L35-'Expo 2018'!L35</f>
        <v>10.128287040000012</v>
      </c>
      <c r="M35" s="171">
        <f>+'Producción Laminados 2018'!M35+'Impo 2018'!M35-'Expo 2018'!M35</f>
        <v>9.139006709999995</v>
      </c>
      <c r="N35" s="171">
        <f>+'Producción Laminados 2018'!N35+'Impo 2018'!N35-'Expo 2018'!N35</f>
        <v>6.4666897600000048</v>
      </c>
      <c r="O35" s="171"/>
      <c r="P35" s="34">
        <f t="shared" si="5"/>
        <v>94.579766630000023</v>
      </c>
      <c r="R35" s="44"/>
      <c r="S35" s="2"/>
      <c r="U35" s="2"/>
      <c r="Y35" s="79"/>
      <c r="Z35" s="83"/>
    </row>
    <row r="36" spans="2:26" s="3" customFormat="1" ht="18" customHeight="1" thickTop="1" thickBot="1">
      <c r="B36" s="260"/>
      <c r="C36" s="29" t="s">
        <v>139</v>
      </c>
      <c r="D36" s="52">
        <f t="shared" ref="D36:E36" si="24">+D33+D34+D35</f>
        <v>161.12312211999998</v>
      </c>
      <c r="E36" s="52">
        <f t="shared" si="24"/>
        <v>157.85990551</v>
      </c>
      <c r="F36" s="52">
        <f t="shared" ref="F36:G36" si="25">+F33+F34+F35</f>
        <v>145.56402701000007</v>
      </c>
      <c r="G36" s="52">
        <f t="shared" si="25"/>
        <v>189.07798136000005</v>
      </c>
      <c r="H36" s="52">
        <f t="shared" ref="H36:I36" si="26">+H33+H34+H35</f>
        <v>167.56891184</v>
      </c>
      <c r="I36" s="52">
        <f t="shared" si="26"/>
        <v>128.24836934000004</v>
      </c>
      <c r="J36" s="52">
        <f t="shared" ref="J36:K36" si="27">+J33+J34+J35</f>
        <v>156.24049794999999</v>
      </c>
      <c r="K36" s="52">
        <f t="shared" si="27"/>
        <v>161.54993164999993</v>
      </c>
      <c r="L36" s="52">
        <f t="shared" ref="L36:M36" si="28">+L33+L34+L35</f>
        <v>122.38365852000005</v>
      </c>
      <c r="M36" s="52">
        <f t="shared" si="28"/>
        <v>146.92187443999998</v>
      </c>
      <c r="N36" s="52">
        <f t="shared" ref="N36" si="29">+N33+N34+N35</f>
        <v>139.83023578999999</v>
      </c>
      <c r="O36" s="52"/>
      <c r="P36" s="34">
        <f t="shared" si="5"/>
        <v>1676.3685155300004</v>
      </c>
      <c r="R36" s="44"/>
      <c r="S36" s="12">
        <f ca="1">(P36-SUM('Consumo Aparente 2017'!$D36:OFFSET('Consumo Aparente 2017'!$D36,0,Índice!$Y$5)))</f>
        <v>65.306923720000668</v>
      </c>
      <c r="T36" s="2"/>
      <c r="U36" s="12"/>
      <c r="Y36" s="79"/>
      <c r="Z36" s="83"/>
    </row>
    <row r="37" spans="2:26" s="3" customFormat="1" ht="18" customHeight="1" thickTop="1" thickBot="1">
      <c r="B37" s="260"/>
      <c r="C37" s="32" t="s">
        <v>179</v>
      </c>
      <c r="D37" s="35">
        <f>+(D36-'Consumo Aparente 2017'!D36)/'Consumo Aparente 2017'!D36</f>
        <v>9.5836794872168979E-2</v>
      </c>
      <c r="E37" s="35">
        <f>+(E36-'Consumo Aparente 2017'!E36)/'Consumo Aparente 2017'!E36</f>
        <v>0.17842325734929024</v>
      </c>
      <c r="F37" s="35">
        <f>+(F36-'Consumo Aparente 2017'!F36)/'Consumo Aparente 2017'!F36</f>
        <v>-0.17257141674374607</v>
      </c>
      <c r="G37" s="35">
        <f>+(G36-'Consumo Aparente 2017'!G36)/'Consumo Aparente 2017'!G36</f>
        <v>0.18122994645764209</v>
      </c>
      <c r="H37" s="35">
        <f>+(H36-'Consumo Aparente 2017'!H36)/'Consumo Aparente 2017'!H36</f>
        <v>0.23443899222466599</v>
      </c>
      <c r="I37" s="35">
        <f>+(I36-'Consumo Aparente 2017'!I36)/'Consumo Aparente 2017'!I36</f>
        <v>-0.21212199014074298</v>
      </c>
      <c r="J37" s="35">
        <f>+(J36-'Consumo Aparente 2017'!J36)/'Consumo Aparente 2017'!J36</f>
        <v>-1.4772789658528069E-2</v>
      </c>
      <c r="K37" s="35">
        <f>+(K36-'Consumo Aparente 2017'!K36)/'Consumo Aparente 2017'!K36</f>
        <v>1.7676919566549789E-2</v>
      </c>
      <c r="L37" s="35">
        <f>+(L36-'Consumo Aparente 2017'!L36)/'Consumo Aparente 2017'!L36</f>
        <v>-7.7523971658094862E-3</v>
      </c>
      <c r="M37" s="35">
        <f>+(M36-'Consumo Aparente 2017'!M36)/'Consumo Aparente 2017'!M36</f>
        <v>0.12415616275484118</v>
      </c>
      <c r="N37" s="35">
        <f>+(N36-'Consumo Aparente 2017'!N36)/'Consumo Aparente 2017'!N36</f>
        <v>0.12589445950946351</v>
      </c>
      <c r="O37" s="35">
        <f>+(O36-'Consumo Aparente 2017'!O36)/'Consumo Aparente 2017'!O36</f>
        <v>-1</v>
      </c>
      <c r="P37" s="139">
        <f ca="1">(P36-SUM('Consumo Aparente 2017'!$D36:OFFSET('Consumo Aparente 2017'!$D36,0,Índice!$Y$5)))/SUM('Consumo Aparente 2017'!$D36:OFFSET('Consumo Aparente 2017'!$D36,0,Índice!$Y$5))</f>
        <v>4.0536577901177241E-2</v>
      </c>
      <c r="R37" s="44"/>
      <c r="S37" s="2"/>
      <c r="U37" s="2"/>
      <c r="Y37" s="79"/>
      <c r="Z37" s="83"/>
    </row>
    <row r="38" spans="2:26" s="3" customFormat="1" ht="18" customHeight="1" thickTop="1" thickBot="1">
      <c r="B38" s="260" t="s">
        <v>10</v>
      </c>
      <c r="C38" s="29" t="s">
        <v>65</v>
      </c>
      <c r="D38" s="34">
        <f>+'Producción Laminados 2018'!D38+'Impo 2018'!D38-'Expo 2018'!D38</f>
        <v>16.657783909999996</v>
      </c>
      <c r="E38" s="171">
        <f>+'Producción Laminados 2018'!E38+'Impo 2018'!E38-'Expo 2018'!E38</f>
        <v>10.017810779999998</v>
      </c>
      <c r="F38" s="171">
        <f>+'Producción Laminados 2018'!F38+'Impo 2018'!F38-'Expo 2018'!F38</f>
        <v>14.214258619999999</v>
      </c>
      <c r="G38" s="171">
        <f>+'Producción Laminados 2018'!G38+'Impo 2018'!G38-'Expo 2018'!G38</f>
        <v>11.283265630000008</v>
      </c>
      <c r="H38" s="171">
        <f>+'Producción Laminados 2018'!H38+'Impo 2018'!H38-'Expo 2018'!H38</f>
        <v>14.224344230000003</v>
      </c>
      <c r="I38" s="171">
        <f>+'Producción Laminados 2018'!I38+'Impo 2018'!I38-'Expo 2018'!I38</f>
        <v>21.794328900000004</v>
      </c>
      <c r="J38" s="171">
        <f>+'Producción Laminados 2018'!J38+'Impo 2018'!J38-'Expo 2018'!J38</f>
        <v>14.896737609999999</v>
      </c>
      <c r="K38" s="171">
        <f>+'Producción Laminados 2018'!K38+'Impo 2018'!K38-'Expo 2018'!K38</f>
        <v>9.1290096600000012</v>
      </c>
      <c r="L38" s="171">
        <f>+'Producción Laminados 2018'!L38+'Impo 2018'!L38-'Expo 2018'!L38</f>
        <v>25.325876040000004</v>
      </c>
      <c r="M38" s="171">
        <f>+'Producción Laminados 2018'!M38+'Impo 2018'!M38-'Expo 2018'!M38</f>
        <v>13.386678789999998</v>
      </c>
      <c r="N38" s="171">
        <f>+'Producción Laminados 2018'!N38+'Impo 2018'!N38-'Expo 2018'!N38</f>
        <v>16.281943570000003</v>
      </c>
      <c r="O38" s="171"/>
      <c r="P38" s="34">
        <f>+SUM(D38:O38)</f>
        <v>167.21203774000003</v>
      </c>
      <c r="R38" s="44"/>
      <c r="S38" s="2"/>
      <c r="U38" s="2"/>
      <c r="Y38" s="79"/>
      <c r="Z38" s="83"/>
    </row>
    <row r="39" spans="2:26" s="3" customFormat="1" ht="18" customHeight="1" thickTop="1" thickBot="1">
      <c r="B39" s="260"/>
      <c r="C39" s="29" t="s">
        <v>59</v>
      </c>
      <c r="D39" s="34">
        <f>+'Producción Laminados 2018'!D39+'Impo 2018'!D39-'Expo 2018'!D39</f>
        <v>20.295629839999997</v>
      </c>
      <c r="E39" s="171">
        <f>+'Producción Laminados 2018'!E39+'Impo 2018'!E39-'Expo 2018'!E39</f>
        <v>2.7372121100000006</v>
      </c>
      <c r="F39" s="171">
        <f>+'Producción Laminados 2018'!F39+'Impo 2018'!F39-'Expo 2018'!F39</f>
        <v>12.107967810000002</v>
      </c>
      <c r="G39" s="171">
        <f>+'Producción Laminados 2018'!G39+'Impo 2018'!G39-'Expo 2018'!G39</f>
        <v>27.40038697</v>
      </c>
      <c r="H39" s="171">
        <f>+'Producción Laminados 2018'!H39+'Impo 2018'!H39-'Expo 2018'!H39</f>
        <v>11.544463950000006</v>
      </c>
      <c r="I39" s="171">
        <f>+'Producción Laminados 2018'!I39+'Impo 2018'!I39-'Expo 2018'!I39</f>
        <v>13.125667559999997</v>
      </c>
      <c r="J39" s="171">
        <f>+'Producción Laminados 2018'!J39+'Impo 2018'!J39-'Expo 2018'!J39</f>
        <v>12.568899959999998</v>
      </c>
      <c r="K39" s="171">
        <f>+'Producción Laminados 2018'!K39+'Impo 2018'!K39-'Expo 2018'!K39</f>
        <v>34.921605369999995</v>
      </c>
      <c r="L39" s="171">
        <f>+'Producción Laminados 2018'!L39+'Impo 2018'!L39-'Expo 2018'!L39</f>
        <v>6.4713178000000005</v>
      </c>
      <c r="M39" s="171">
        <f>+'Producción Laminados 2018'!M39+'Impo 2018'!M39-'Expo 2018'!M39</f>
        <v>8.8293667199999994</v>
      </c>
      <c r="N39" s="171">
        <f>+'Producción Laminados 2018'!N39+'Impo 2018'!N39-'Expo 2018'!N39</f>
        <v>13.935931259999998</v>
      </c>
      <c r="O39" s="171"/>
      <c r="P39" s="34">
        <f t="shared" si="5"/>
        <v>163.93844934999998</v>
      </c>
      <c r="R39" s="44"/>
      <c r="S39" s="2"/>
      <c r="U39" s="2"/>
      <c r="Y39" s="79"/>
      <c r="Z39" s="83"/>
    </row>
    <row r="40" spans="2:26" s="3" customFormat="1" ht="18" customHeight="1" thickTop="1" thickBot="1">
      <c r="B40" s="260"/>
      <c r="C40" s="29" t="s">
        <v>60</v>
      </c>
      <c r="D40" s="34">
        <f>+'Producción Laminados 2018'!D40+'Impo 2018'!D40-'Expo 2018'!D40</f>
        <v>0.12511996</v>
      </c>
      <c r="E40" s="171">
        <f>+'Producción Laminados 2018'!E40+'Impo 2018'!E40-'Expo 2018'!E40</f>
        <v>0.14218043999999999</v>
      </c>
      <c r="F40" s="171">
        <f>+'Producción Laminados 2018'!F40+'Impo 2018'!F40-'Expo 2018'!F40</f>
        <v>0.15180346000000003</v>
      </c>
      <c r="G40" s="171">
        <f>+'Producción Laminados 2018'!G40+'Impo 2018'!G40-'Expo 2018'!G40</f>
        <v>-1.148064E-2</v>
      </c>
      <c r="H40" s="171">
        <f>+'Producción Laminados 2018'!H40+'Impo 2018'!H40-'Expo 2018'!H40</f>
        <v>0.10849975000000001</v>
      </c>
      <c r="I40" s="171">
        <f>+'Producción Laminados 2018'!I40+'Impo 2018'!I40-'Expo 2018'!I40</f>
        <v>9.8064489999999976E-2</v>
      </c>
      <c r="J40" s="171">
        <f>+'Producción Laminados 2018'!J40+'Impo 2018'!J40-'Expo 2018'!J40</f>
        <v>0.17484345000000001</v>
      </c>
      <c r="K40" s="171">
        <f>+'Producción Laminados 2018'!K40+'Impo 2018'!K40-'Expo 2018'!K40</f>
        <v>6.756791999999999E-2</v>
      </c>
      <c r="L40" s="171">
        <f>+'Producción Laminados 2018'!L40+'Impo 2018'!L40-'Expo 2018'!L40</f>
        <v>0.14033566</v>
      </c>
      <c r="M40" s="171">
        <f>+'Producción Laminados 2018'!M40+'Impo 2018'!M40-'Expo 2018'!M40</f>
        <v>5.5342890000000006E-2</v>
      </c>
      <c r="N40" s="171">
        <f>+'Producción Laminados 2018'!N40+'Impo 2018'!N40-'Expo 2018'!N40</f>
        <v>3.925031000000001E-2</v>
      </c>
      <c r="O40" s="52"/>
      <c r="P40" s="34">
        <f t="shared" si="5"/>
        <v>1.0915276899999999</v>
      </c>
      <c r="R40" s="44"/>
      <c r="S40" s="2"/>
      <c r="U40" s="2"/>
      <c r="Y40" s="79"/>
      <c r="Z40" s="83"/>
    </row>
    <row r="41" spans="2:26" s="3" customFormat="1" ht="18" customHeight="1" thickTop="1" thickBot="1">
      <c r="B41" s="260"/>
      <c r="C41" s="29" t="s">
        <v>139</v>
      </c>
      <c r="D41" s="52">
        <f t="shared" ref="D41:E41" si="30">+D38+D39+D40</f>
        <v>37.078533709999995</v>
      </c>
      <c r="E41" s="52">
        <f t="shared" si="30"/>
        <v>12.89720333</v>
      </c>
      <c r="F41" s="52">
        <f t="shared" ref="F41:G41" si="31">+F38+F39+F40</f>
        <v>26.474029890000001</v>
      </c>
      <c r="G41" s="52">
        <f t="shared" si="31"/>
        <v>38.672171960000007</v>
      </c>
      <c r="H41" s="52">
        <f t="shared" ref="H41:I41" si="32">+H38+H39+H40</f>
        <v>25.877307930000008</v>
      </c>
      <c r="I41" s="52">
        <f t="shared" si="32"/>
        <v>35.018060949999999</v>
      </c>
      <c r="J41" s="52">
        <f t="shared" ref="J41:K41" si="33">+J38+J39+J40</f>
        <v>27.640481019999999</v>
      </c>
      <c r="K41" s="52">
        <f t="shared" si="33"/>
        <v>44.118182949999998</v>
      </c>
      <c r="L41" s="52">
        <f t="shared" ref="L41:M41" si="34">+L38+L39+L40</f>
        <v>31.937529500000007</v>
      </c>
      <c r="M41" s="52">
        <f t="shared" si="34"/>
        <v>22.271388399999996</v>
      </c>
      <c r="N41" s="52">
        <f t="shared" ref="N41" si="35">+N38+N39+N40</f>
        <v>30.257125139999999</v>
      </c>
      <c r="O41" s="52"/>
      <c r="P41" s="34">
        <f t="shared" si="5"/>
        <v>332.24201477999998</v>
      </c>
      <c r="R41" s="44"/>
      <c r="S41" s="12">
        <f ca="1">(P41-SUM('Consumo Aparente 2017'!$D41:OFFSET('Consumo Aparente 2017'!$D41,0,Índice!$Y$5)))</f>
        <v>48.17307624</v>
      </c>
      <c r="T41" s="2"/>
      <c r="U41" s="12"/>
      <c r="Y41" s="79"/>
      <c r="Z41" s="83"/>
    </row>
    <row r="42" spans="2:26" s="3" customFormat="1" ht="18" customHeight="1" thickTop="1" thickBot="1">
      <c r="B42" s="260"/>
      <c r="C42" s="32" t="s">
        <v>179</v>
      </c>
      <c r="D42" s="35">
        <f>+(D41-'Consumo Aparente 2017'!D41)/'Consumo Aparente 2017'!D41</f>
        <v>-0.1696222490069054</v>
      </c>
      <c r="E42" s="35">
        <f>+(E41-'Consumo Aparente 2017'!E41)/'Consumo Aparente 2017'!E41</f>
        <v>-0.40522131708293069</v>
      </c>
      <c r="F42" s="35">
        <f>+(F41-'Consumo Aparente 2017'!F41)/'Consumo Aparente 2017'!F41</f>
        <v>-3.8230450189523308</v>
      </c>
      <c r="G42" s="35">
        <f>+(G41-'Consumo Aparente 2017'!G41)/'Consumo Aparente 2017'!G41</f>
        <v>0.15149389105237768</v>
      </c>
      <c r="H42" s="35">
        <f>+(H41-'Consumo Aparente 2017'!H41)/'Consumo Aparente 2017'!H41</f>
        <v>-6.7483793707499656E-2</v>
      </c>
      <c r="I42" s="35">
        <f>+(I41-'Consumo Aparente 2017'!I41)/'Consumo Aparente 2017'!I41</f>
        <v>1.0006032072686077</v>
      </c>
      <c r="J42" s="35">
        <f>+(J41-'Consumo Aparente 2017'!J41)/'Consumo Aparente 2017'!J41</f>
        <v>0.38310567144650159</v>
      </c>
      <c r="K42" s="35">
        <f>+(K41-'Consumo Aparente 2017'!K41)/'Consumo Aparente 2017'!K41</f>
        <v>0.30500575601197338</v>
      </c>
      <c r="L42" s="35">
        <f>+(L41-'Consumo Aparente 2017'!L41)/'Consumo Aparente 2017'!L41</f>
        <v>0.57422223169654718</v>
      </c>
      <c r="M42" s="35">
        <f>+(M41-'Consumo Aparente 2017'!M41)/'Consumo Aparente 2017'!M41</f>
        <v>-0.55353720730846978</v>
      </c>
      <c r="N42" s="35">
        <f>+(N41-'Consumo Aparente 2017'!N41)/'Consumo Aparente 2017'!N41</f>
        <v>0.24469387625721323</v>
      </c>
      <c r="O42" s="35">
        <f>+(O41-'Consumo Aparente 2017'!O41)/'Consumo Aparente 2017'!O41</f>
        <v>-1</v>
      </c>
      <c r="P42" s="139">
        <f ca="1">(P41-SUM('Consumo Aparente 2017'!$D41:OFFSET('Consumo Aparente 2017'!$D41,0,Índice!$Y$5)))/SUM('Consumo Aparente 2017'!$D41:OFFSET('Consumo Aparente 2017'!$D41,0,Índice!$Y$5))</f>
        <v>0.16958234324241933</v>
      </c>
      <c r="R42" s="44"/>
      <c r="S42" s="2"/>
      <c r="U42" s="2"/>
      <c r="Y42" s="79"/>
      <c r="Z42" s="83"/>
    </row>
    <row r="43" spans="2:26" s="3" customFormat="1" ht="18" customHeight="1" thickTop="1" thickBot="1">
      <c r="B43" s="260" t="s">
        <v>11</v>
      </c>
      <c r="C43" s="29" t="s">
        <v>65</v>
      </c>
      <c r="D43" s="34">
        <f>+'Producción Laminados 2018'!D43+'Impo 2018'!D43-'Expo 2018'!D43</f>
        <v>37.863154999999999</v>
      </c>
      <c r="E43" s="171">
        <f>+'Producción Laminados 2018'!E43+'Impo 2018'!E43-'Expo 2018'!E43</f>
        <v>31.488270000000007</v>
      </c>
      <c r="F43" s="171">
        <f>+'Producción Laminados 2018'!F43+'Impo 2018'!F43-'Expo 2018'!F43</f>
        <v>27.419645999999997</v>
      </c>
      <c r="G43" s="171">
        <f>+'Producción Laminados 2018'!G43+'Impo 2018'!G43-'Expo 2018'!G43</f>
        <v>44.838260000000005</v>
      </c>
      <c r="H43" s="171">
        <f>+'Producción Laminados 2018'!H43+'Impo 2018'!H43-'Expo 2018'!H43</f>
        <v>37.64575</v>
      </c>
      <c r="I43" s="171">
        <f>+'Producción Laminados 2018'!I43+'Impo 2018'!I43-'Expo 2018'!I43</f>
        <v>37.051943000000009</v>
      </c>
      <c r="J43" s="171">
        <f>+'Producción Laminados 2018'!J43+'Impo 2018'!J43-'Expo 2018'!J43</f>
        <v>45.371825999999999</v>
      </c>
      <c r="K43" s="171">
        <f>+'Producción Laminados 2018'!K43+'Impo 2018'!K43-'Expo 2018'!K43</f>
        <v>38.753368999999999</v>
      </c>
      <c r="L43" s="171">
        <f>+'Producción Laminados 2018'!L43+'Impo 2018'!L43-'Expo 2018'!L43</f>
        <v>50.720815999999999</v>
      </c>
      <c r="M43" s="171">
        <f>+'Producción Laminados 2018'!M43+'Impo 2018'!M43-'Expo 2018'!M43</f>
        <v>48.796502000000004</v>
      </c>
      <c r="N43" s="171">
        <f>+'Producción Laminados 2018'!N43+'Impo 2018'!N43-'Expo 2018'!N43</f>
        <v>49.82</v>
      </c>
      <c r="O43" s="170"/>
      <c r="P43" s="34">
        <f>+SUM(D43:O43)</f>
        <v>449.76953700000007</v>
      </c>
      <c r="R43" s="44"/>
      <c r="S43" s="2"/>
      <c r="U43" s="2"/>
      <c r="Y43" s="79"/>
      <c r="Z43" s="83"/>
    </row>
    <row r="44" spans="2:26" s="3" customFormat="1" ht="18" customHeight="1" thickTop="1" thickBot="1">
      <c r="B44" s="260"/>
      <c r="C44" s="29" t="s">
        <v>59</v>
      </c>
      <c r="D44" s="34">
        <f>+'Producción Laminados 2018'!D44+'Impo 2018'!D44-'Expo 2018'!D44</f>
        <v>32.458618999999999</v>
      </c>
      <c r="E44" s="171">
        <f>+'Producción Laminados 2018'!E44+'Impo 2018'!E44-'Expo 2018'!E44</f>
        <v>23.702825999999998</v>
      </c>
      <c r="F44" s="171">
        <f>+'Producción Laminados 2018'!F44+'Impo 2018'!F44-'Expo 2018'!F44</f>
        <v>38.342063999999993</v>
      </c>
      <c r="G44" s="171">
        <f>+'Producción Laminados 2018'!G44+'Impo 2018'!G44-'Expo 2018'!G44</f>
        <v>21.624402</v>
      </c>
      <c r="H44" s="171">
        <f>+'Producción Laminados 2018'!H44+'Impo 2018'!H44-'Expo 2018'!H44</f>
        <v>43.061445000000006</v>
      </c>
      <c r="I44" s="171">
        <f>+'Producción Laminados 2018'!I44+'Impo 2018'!I44-'Expo 2018'!I44</f>
        <v>34.552948999999998</v>
      </c>
      <c r="J44" s="171">
        <f>+'Producción Laminados 2018'!J44+'Impo 2018'!J44-'Expo 2018'!J44</f>
        <v>26.209079000000003</v>
      </c>
      <c r="K44" s="171">
        <f>+'Producción Laminados 2018'!K44+'Impo 2018'!K44-'Expo 2018'!K44</f>
        <v>17.075046</v>
      </c>
      <c r="L44" s="171">
        <f>+'Producción Laminados 2018'!L44+'Impo 2018'!L44-'Expo 2018'!L44</f>
        <v>52.347257999999997</v>
      </c>
      <c r="M44" s="171">
        <f>+'Producción Laminados 2018'!M44+'Impo 2018'!M44-'Expo 2018'!M44</f>
        <v>30.078521000000002</v>
      </c>
      <c r="N44" s="171">
        <f>+'Producción Laminados 2018'!N44+'Impo 2018'!N44-'Expo 2018'!N44</f>
        <v>33</v>
      </c>
      <c r="O44" s="170"/>
      <c r="P44" s="34">
        <f t="shared" si="5"/>
        <v>352.45220900000004</v>
      </c>
      <c r="R44" s="44"/>
      <c r="S44" s="2"/>
      <c r="U44" s="2"/>
      <c r="Y44" s="79"/>
      <c r="Z44" s="83"/>
    </row>
    <row r="45" spans="2:26" s="3" customFormat="1" ht="18" customHeight="1" thickTop="1" thickBot="1">
      <c r="B45" s="260"/>
      <c r="C45" s="29" t="s">
        <v>60</v>
      </c>
      <c r="D45" s="34">
        <f>+'Producción Laminados 2018'!D45+'Impo 2018'!D45-'Expo 2018'!D45</f>
        <v>0.32193899999999998</v>
      </c>
      <c r="E45" s="171">
        <f>+'Producción Laminados 2018'!E45+'Impo 2018'!E45-'Expo 2018'!E45</f>
        <v>-0.10272099999999999</v>
      </c>
      <c r="F45" s="171">
        <f>+'Producción Laminados 2018'!F45+'Impo 2018'!F45-'Expo 2018'!F45</f>
        <v>0.22350500000000001</v>
      </c>
      <c r="G45" s="171">
        <f>+'Producción Laminados 2018'!G45+'Impo 2018'!G45-'Expo 2018'!G45</f>
        <v>1.0688929999999999</v>
      </c>
      <c r="H45" s="171">
        <f>+'Producción Laminados 2018'!H45+'Impo 2018'!H45-'Expo 2018'!H45</f>
        <v>2.477399999999999E-2</v>
      </c>
      <c r="I45" s="171">
        <f>+'Producción Laminados 2018'!I45+'Impo 2018'!I45-'Expo 2018'!I45</f>
        <v>0.37949999999999995</v>
      </c>
      <c r="J45" s="171">
        <f>+'Producción Laminados 2018'!J45+'Impo 2018'!J45-'Expo 2018'!J45</f>
        <v>1.0466329999999999</v>
      </c>
      <c r="K45" s="171">
        <f>+'Producción Laminados 2018'!K45+'Impo 2018'!K45-'Expo 2018'!K45</f>
        <v>0.207232</v>
      </c>
      <c r="L45" s="171">
        <f>+'Producción Laminados 2018'!L45+'Impo 2018'!L45-'Expo 2018'!L45</f>
        <v>-6.8388000000000004E-2</v>
      </c>
      <c r="M45" s="171">
        <f>+'Producción Laminados 2018'!M45+'Impo 2018'!M45-'Expo 2018'!M45</f>
        <v>0.213924</v>
      </c>
      <c r="N45" s="171">
        <f>+'Producción Laminados 2018'!N45+'Impo 2018'!N45-'Expo 2018'!N45</f>
        <v>0.128</v>
      </c>
      <c r="O45" s="170"/>
      <c r="P45" s="34">
        <f t="shared" si="5"/>
        <v>3.4432909999999999</v>
      </c>
      <c r="R45" s="44"/>
      <c r="S45" s="2"/>
      <c r="U45" s="2"/>
      <c r="Y45" s="79"/>
      <c r="Z45" s="83"/>
    </row>
    <row r="46" spans="2:26" s="3" customFormat="1" ht="18" customHeight="1" thickTop="1" thickBot="1">
      <c r="B46" s="260"/>
      <c r="C46" s="29" t="s">
        <v>139</v>
      </c>
      <c r="D46" s="52">
        <f t="shared" ref="D46:I46" si="36">+D43+D44+D45</f>
        <v>70.643713000000005</v>
      </c>
      <c r="E46" s="52">
        <f t="shared" si="36"/>
        <v>55.088374999999999</v>
      </c>
      <c r="F46" s="52">
        <f t="shared" si="36"/>
        <v>65.985214999999997</v>
      </c>
      <c r="G46" s="52">
        <f t="shared" si="36"/>
        <v>67.531555000000012</v>
      </c>
      <c r="H46" s="52">
        <f t="shared" si="36"/>
        <v>80.731969000000007</v>
      </c>
      <c r="I46" s="52">
        <f t="shared" si="36"/>
        <v>71.984392</v>
      </c>
      <c r="J46" s="52">
        <f t="shared" ref="J46:K46" si="37">+J43+J44+J45</f>
        <v>72.627538000000001</v>
      </c>
      <c r="K46" s="52">
        <f t="shared" si="37"/>
        <v>56.035646999999997</v>
      </c>
      <c r="L46" s="52">
        <f t="shared" ref="L46:M46" si="38">+L43+L44+L45</f>
        <v>102.999686</v>
      </c>
      <c r="M46" s="52">
        <f t="shared" si="38"/>
        <v>79.088947000000005</v>
      </c>
      <c r="N46" s="52">
        <f t="shared" ref="N46" si="39">+N43+N44+N45</f>
        <v>82.947999999999993</v>
      </c>
      <c r="O46" s="53"/>
      <c r="P46" s="34">
        <f t="shared" si="5"/>
        <v>805.66503699999998</v>
      </c>
      <c r="R46" s="44"/>
      <c r="S46" s="12">
        <f ca="1">(P46-SUM('Consumo Aparente 2017'!$D46:OFFSET('Consumo Aparente 2017'!$D46,0,Índice!$Y$5)))</f>
        <v>-34.747385000000122</v>
      </c>
      <c r="T46" s="2"/>
      <c r="U46" s="12"/>
      <c r="Y46" s="79"/>
      <c r="Z46" s="83"/>
    </row>
    <row r="47" spans="2:26" s="3" customFormat="1" ht="18" customHeight="1" thickTop="1" thickBot="1">
      <c r="B47" s="260"/>
      <c r="C47" s="32" t="s">
        <v>179</v>
      </c>
      <c r="D47" s="35">
        <f>+(D46-'Consumo Aparente 2017'!D46)/'Consumo Aparente 2017'!D46</f>
        <v>-0.16538718133516297</v>
      </c>
      <c r="E47" s="35">
        <f>+(E46-'Consumo Aparente 2017'!E46)/'Consumo Aparente 2017'!E46</f>
        <v>0.11376177879775762</v>
      </c>
      <c r="F47" s="35">
        <f>+(F46-'Consumo Aparente 2017'!F46)/'Consumo Aparente 2017'!F46</f>
        <v>-2.0894838809782997E-2</v>
      </c>
      <c r="G47" s="35">
        <f>+(G46-'Consumo Aparente 2017'!G46)/'Consumo Aparente 2017'!G46</f>
        <v>-0.30113016024272443</v>
      </c>
      <c r="H47" s="35">
        <f>+(H46-'Consumo Aparente 2017'!H46)/'Consumo Aparente 2017'!H46</f>
        <v>0.22305878769788301</v>
      </c>
      <c r="I47" s="35">
        <f>+(I46-'Consumo Aparente 2017'!I46)/'Consumo Aparente 2017'!I46</f>
        <v>1.5327720400263428E-2</v>
      </c>
      <c r="J47" s="35">
        <f>+(J46-'Consumo Aparente 2017'!J46)/'Consumo Aparente 2017'!J46</f>
        <v>-0.26359919733140308</v>
      </c>
      <c r="K47" s="35">
        <f>+(K46-'Consumo Aparente 2017'!K46)/'Consumo Aparente 2017'!K46</f>
        <v>-0.40780716001543205</v>
      </c>
      <c r="L47" s="35">
        <f>+(L46-'Consumo Aparente 2017'!L46)/'Consumo Aparente 2017'!L46</f>
        <v>0.7010994073830551</v>
      </c>
      <c r="M47" s="35">
        <f>+(M46-'Consumo Aparente 2017'!M46)/'Consumo Aparente 2017'!M46</f>
        <v>-5.9279043460197856E-2</v>
      </c>
      <c r="N47" s="35">
        <f>+(N46-'Consumo Aparente 2017'!N46)/'Consumo Aparente 2017'!N46</f>
        <v>0.22869896410254958</v>
      </c>
      <c r="O47" s="35">
        <f>+(O46-'Consumo Aparente 2017'!O46)/'Consumo Aparente 2017'!O46</f>
        <v>-1</v>
      </c>
      <c r="P47" s="139">
        <f ca="1">(P46-SUM('Consumo Aparente 2017'!$D46:OFFSET('Consumo Aparente 2017'!$D46,0,Índice!$Y$5)))/SUM('Consumo Aparente 2017'!$D46:OFFSET('Consumo Aparente 2017'!$D46,0,Índice!$Y$5))</f>
        <v>-4.1345634703148303E-2</v>
      </c>
      <c r="R47" s="44"/>
      <c r="S47" s="2"/>
      <c r="U47" s="2"/>
      <c r="Y47" s="79"/>
      <c r="Z47" s="83"/>
    </row>
    <row r="48" spans="2:26" ht="18" customHeight="1" thickTop="1" thickBot="1">
      <c r="B48" s="260" t="s">
        <v>86</v>
      </c>
      <c r="C48" s="29" t="s">
        <v>65</v>
      </c>
      <c r="D48" s="34">
        <f>'Impo 2018'!D48-'Expo 2018'!D48</f>
        <v>6.3201466899999987</v>
      </c>
      <c r="E48" s="171">
        <f>'Impo 2018'!E48-'Expo 2018'!E48</f>
        <v>10.962483430000006</v>
      </c>
      <c r="F48" s="171">
        <f>'Impo 2018'!F48-'Expo 2018'!F48</f>
        <v>9.4689532399999976</v>
      </c>
      <c r="G48" s="171">
        <f>'Impo 2018'!G48-'Expo 2018'!G48</f>
        <v>5.3549880200000022</v>
      </c>
      <c r="H48" s="171">
        <f>'Impo 2018'!H48-'Expo 2018'!H48</f>
        <v>7.9508230599999985</v>
      </c>
      <c r="I48" s="171">
        <f>'Impo 2018'!I48-'Expo 2018'!I48</f>
        <v>11.111662900000001</v>
      </c>
      <c r="J48" s="171">
        <f>'Impo 2018'!J48-'Expo 2018'!J48</f>
        <v>4.043081500000004</v>
      </c>
      <c r="K48" s="171">
        <f>'Impo 2018'!K48-'Expo 2018'!K48</f>
        <v>5.2149820699999987</v>
      </c>
      <c r="L48" s="171">
        <f>'Impo 2018'!L48-'Expo 2018'!L48</f>
        <v>14.918825990000004</v>
      </c>
      <c r="M48" s="171">
        <f>'Impo 2018'!M48-'Expo 2018'!M48</f>
        <v>7.4317293700000029</v>
      </c>
      <c r="N48" s="171">
        <f>'Impo 2018'!N48-'Expo 2018'!N48</f>
        <v>9</v>
      </c>
      <c r="O48" s="171"/>
      <c r="P48" s="34">
        <f>+SUM(D48:O48)</f>
        <v>91.777676270000015</v>
      </c>
      <c r="R48" s="55"/>
      <c r="Y48" s="78"/>
    </row>
    <row r="49" spans="2:26" ht="18" customHeight="1" thickTop="1" thickBot="1">
      <c r="B49" s="260"/>
      <c r="C49" s="29" t="s">
        <v>59</v>
      </c>
      <c r="D49" s="34">
        <f>'Impo 2018'!D49-'Expo 2018'!D49</f>
        <v>17.598360450000015</v>
      </c>
      <c r="E49" s="171">
        <f>'Impo 2018'!E49-'Expo 2018'!E49</f>
        <v>13.538420719999996</v>
      </c>
      <c r="F49" s="171">
        <f>'Impo 2018'!F49-'Expo 2018'!F49</f>
        <v>23.070746299999996</v>
      </c>
      <c r="G49" s="171">
        <f>'Impo 2018'!G49-'Expo 2018'!G49</f>
        <v>8.3650691900000034</v>
      </c>
      <c r="H49" s="171">
        <f>'Impo 2018'!H49-'Expo 2018'!H49</f>
        <v>11.285899209999997</v>
      </c>
      <c r="I49" s="171">
        <f>'Impo 2018'!I49-'Expo 2018'!I49</f>
        <v>37.415056989999997</v>
      </c>
      <c r="J49" s="171">
        <f>'Impo 2018'!J49-'Expo 2018'!J49</f>
        <v>17.954047739999986</v>
      </c>
      <c r="K49" s="171">
        <f>'Impo 2018'!K49-'Expo 2018'!K49</f>
        <v>3.6384465199999987</v>
      </c>
      <c r="L49" s="171">
        <f>'Impo 2018'!L49-'Expo 2018'!L49</f>
        <v>41.573593140000028</v>
      </c>
      <c r="M49" s="171">
        <f>'Impo 2018'!M49-'Expo 2018'!M49</f>
        <v>15.29672981</v>
      </c>
      <c r="N49" s="171">
        <f>'Impo 2018'!N49-'Expo 2018'!N49</f>
        <v>20</v>
      </c>
      <c r="O49" s="171"/>
      <c r="P49" s="34">
        <f t="shared" si="5"/>
        <v>209.73637007000002</v>
      </c>
      <c r="R49" s="55"/>
      <c r="Y49" s="78"/>
    </row>
    <row r="50" spans="2:26" ht="18" customHeight="1" thickTop="1" thickBot="1">
      <c r="B50" s="260"/>
      <c r="C50" s="29" t="s">
        <v>60</v>
      </c>
      <c r="D50" s="34">
        <f>'Impo 2018'!D50-'Expo 2018'!D50</f>
        <v>0.21082517000000001</v>
      </c>
      <c r="E50" s="171">
        <f>'Impo 2018'!E50-'Expo 2018'!E50</f>
        <v>7.5757199999999997E-2</v>
      </c>
      <c r="F50" s="171">
        <f>'Impo 2018'!F50-'Expo 2018'!F50</f>
        <v>0.47365959999999996</v>
      </c>
      <c r="G50" s="171">
        <f>'Impo 2018'!G50-'Expo 2018'!G50</f>
        <v>0.10509872000000001</v>
      </c>
      <c r="H50" s="171">
        <f>'Impo 2018'!H50-'Expo 2018'!H50</f>
        <v>3.9664289999999991E-2</v>
      </c>
      <c r="I50" s="171">
        <f>'Impo 2018'!I50-'Expo 2018'!I50</f>
        <v>0.11829919999999998</v>
      </c>
      <c r="J50" s="171">
        <f>'Impo 2018'!J50-'Expo 2018'!J50</f>
        <v>5.8493290000000003E-2</v>
      </c>
      <c r="K50" s="171">
        <f>'Impo 2018'!K50-'Expo 2018'!K50</f>
        <v>0.18538260000000004</v>
      </c>
      <c r="L50" s="171">
        <f>'Impo 2018'!L50-'Expo 2018'!L50</f>
        <v>0.28306797000000006</v>
      </c>
      <c r="M50" s="171">
        <f>'Impo 2018'!M50-'Expo 2018'!M50</f>
        <v>0.12000284</v>
      </c>
      <c r="N50" s="171">
        <f>'Impo 2018'!N50-'Expo 2018'!N50</f>
        <v>0.19996240000000001</v>
      </c>
      <c r="O50" s="171"/>
      <c r="P50" s="34">
        <f t="shared" si="5"/>
        <v>1.87021328</v>
      </c>
      <c r="R50" s="55"/>
      <c r="Y50" s="78"/>
    </row>
    <row r="51" spans="2:26" ht="18" customHeight="1" thickTop="1" thickBot="1">
      <c r="B51" s="260"/>
      <c r="C51" s="29" t="s">
        <v>139</v>
      </c>
      <c r="D51" s="52">
        <f t="shared" ref="D51:I51" si="40">+D48+D49+D50</f>
        <v>24.129332310000013</v>
      </c>
      <c r="E51" s="52">
        <f t="shared" si="40"/>
        <v>24.576661350000006</v>
      </c>
      <c r="F51" s="52">
        <f t="shared" si="40"/>
        <v>33.013359139999991</v>
      </c>
      <c r="G51" s="52">
        <f t="shared" si="40"/>
        <v>13.825155930000006</v>
      </c>
      <c r="H51" s="52">
        <f t="shared" si="40"/>
        <v>19.276386559999995</v>
      </c>
      <c r="I51" s="52">
        <f t="shared" si="40"/>
        <v>48.645019089999998</v>
      </c>
      <c r="J51" s="52">
        <f t="shared" ref="J51:K51" si="41">+J48+J49+J50</f>
        <v>22.05562252999999</v>
      </c>
      <c r="K51" s="52">
        <f t="shared" si="41"/>
        <v>9.038811189999997</v>
      </c>
      <c r="L51" s="52">
        <f t="shared" ref="L51:M51" si="42">+L48+L49+L50</f>
        <v>56.775487100000028</v>
      </c>
      <c r="M51" s="52">
        <f t="shared" si="42"/>
        <v>22.848462020000003</v>
      </c>
      <c r="N51" s="52">
        <f t="shared" ref="N51" si="43">+N48+N49+N50</f>
        <v>29.1999624</v>
      </c>
      <c r="O51" s="52"/>
      <c r="P51" s="34">
        <f t="shared" si="5"/>
        <v>303.38425962000002</v>
      </c>
      <c r="Q51" s="4" t="s">
        <v>17</v>
      </c>
      <c r="R51" s="55"/>
      <c r="S51" s="12">
        <f ca="1">(P51-SUM('Consumo Aparente 2017'!$D51:OFFSET('Consumo Aparente 2017'!$D51,0,Índice!$Y$5)))</f>
        <v>1.0821807800000443</v>
      </c>
      <c r="U51" s="12"/>
      <c r="Y51" s="78"/>
    </row>
    <row r="52" spans="2:26" ht="18" customHeight="1" thickTop="1" thickBot="1">
      <c r="B52" s="260"/>
      <c r="C52" s="32" t="s">
        <v>179</v>
      </c>
      <c r="D52" s="35">
        <f>+(D51-'Consumo Aparente 2017'!D51)/'Consumo Aparente 2017'!D51</f>
        <v>0.67496670411761317</v>
      </c>
      <c r="E52" s="35">
        <f>+(E51-'Consumo Aparente 2017'!E51)/'Consumo Aparente 2017'!E51</f>
        <v>-0.40232141090927015</v>
      </c>
      <c r="F52" s="35">
        <f>+(F51-'Consumo Aparente 2017'!F51)/'Consumo Aparente 2017'!F51</f>
        <v>0.980106131562404</v>
      </c>
      <c r="G52" s="35">
        <f>+(G51-'Consumo Aparente 2017'!G51)/'Consumo Aparente 2017'!G51</f>
        <v>-0.44468336750625626</v>
      </c>
      <c r="H52" s="35">
        <f>+(H51-'Consumo Aparente 2017'!H51)/'Consumo Aparente 2017'!H51</f>
        <v>-0.21418434591281266</v>
      </c>
      <c r="I52" s="35">
        <f>+(I51-'Consumo Aparente 2017'!I51)/'Consumo Aparente 2017'!I51</f>
        <v>0.47104167316115669</v>
      </c>
      <c r="J52" s="35">
        <f>+(J51-'Consumo Aparente 2017'!J51)/'Consumo Aparente 2017'!J51</f>
        <v>0.14870020527049935</v>
      </c>
      <c r="K52" s="35">
        <f>+(K51-'Consumo Aparente 2017'!K51)/'Consumo Aparente 2017'!K51</f>
        <v>-0.65616842466844727</v>
      </c>
      <c r="L52" s="35">
        <f>+(L51-'Consumo Aparente 2017'!L51)/'Consumo Aparente 2017'!L51</f>
        <v>0.52922109845880649</v>
      </c>
      <c r="M52" s="35">
        <f>+(M51-'Consumo Aparente 2017'!M51)/'Consumo Aparente 2017'!M51</f>
        <v>-0.29466722331469009</v>
      </c>
      <c r="N52" s="35">
        <f>+(N51-'Consumo Aparente 2017'!N51)/'Consumo Aparente 2017'!N51</f>
        <v>-0.1042614298006127</v>
      </c>
      <c r="O52" s="35">
        <f>+(O51-'Consumo Aparente 2017'!O51)/'Consumo Aparente 2017'!O51</f>
        <v>-1</v>
      </c>
      <c r="P52" s="139">
        <f ca="1">(P51-SUM('Consumo Aparente 2017'!$D51:OFFSET('Consumo Aparente 2017'!$D51,0,Índice!$Y$5)))/SUM('Consumo Aparente 2017'!$D51:OFFSET('Consumo Aparente 2017'!$D51,0,Índice!$Y$5))</f>
        <v>3.5797993323519691E-3</v>
      </c>
      <c r="R52" s="14"/>
      <c r="Y52" s="78"/>
    </row>
    <row r="53" spans="2:26" ht="18" customHeight="1" thickTop="1" thickBot="1">
      <c r="B53" s="260" t="s">
        <v>43</v>
      </c>
      <c r="C53" s="29" t="s">
        <v>65</v>
      </c>
      <c r="D53" s="171">
        <f>+'Producción Laminados 2018'!D48+'Impo 2018'!D53-'Expo 2018'!D53</f>
        <v>789.41832271082001</v>
      </c>
      <c r="E53" s="171">
        <f>+'Producción Laminados 2018'!E48+'Impo 2018'!E53-'Expo 2018'!E53</f>
        <v>710.70415040379999</v>
      </c>
      <c r="F53" s="171">
        <f>+'Producción Laminados 2018'!F48+'Impo 2018'!F53-'Expo 2018'!F53</f>
        <v>730.26283389190007</v>
      </c>
      <c r="G53" s="171">
        <f>+'Producción Laminados 2018'!G48+'Impo 2018'!G53-'Expo 2018'!G53</f>
        <v>731.87014610755</v>
      </c>
      <c r="H53" s="171">
        <f>+'Producción Laminados 2018'!H48+'Impo 2018'!H53-'Expo 2018'!H53</f>
        <v>777.56303526839997</v>
      </c>
      <c r="I53" s="171">
        <f>+'Producción Laminados 2018'!I48+'Impo 2018'!I53-'Expo 2018'!I53</f>
        <v>789.08087129959995</v>
      </c>
      <c r="J53" s="171">
        <f>+'Producción Laminados 2018'!J48+'Impo 2018'!J53-'Expo 2018'!J53</f>
        <v>818.86798206200001</v>
      </c>
      <c r="K53" s="171">
        <f>+'Producción Laminados 2018'!K48+'Impo 2018'!K53-'Expo 2018'!K53</f>
        <v>772.40338953941</v>
      </c>
      <c r="L53" s="171">
        <f>+'Producción Laminados 2018'!L48+'Impo 2018'!L53-'Expo 2018'!L53</f>
        <v>739.09296981519992</v>
      </c>
      <c r="M53" s="171">
        <f>+'Producción Laminados 2018'!M48+'Impo 2018'!M53-'Expo 2018'!M53</f>
        <v>801.9625357187</v>
      </c>
      <c r="N53" s="171">
        <f>+'Producción Laminados 2018'!N48+'Impo 2018'!N53-'Expo 2018'!N53</f>
        <v>648.16600000000005</v>
      </c>
      <c r="O53" s="171"/>
      <c r="P53" s="34">
        <f>+SUM(D53:O53)</f>
        <v>8309.3922368173771</v>
      </c>
      <c r="R53" s="55"/>
      <c r="Y53" s="78"/>
    </row>
    <row r="54" spans="2:26" ht="18" customHeight="1" thickTop="1" thickBot="1">
      <c r="B54" s="260"/>
      <c r="C54" s="29" t="s">
        <v>59</v>
      </c>
      <c r="D54" s="171">
        <f>+'Producción Laminados 2018'!D49+'Impo 2018'!D54-'Expo 2018'!D54</f>
        <v>1370.2293649118999</v>
      </c>
      <c r="E54" s="171">
        <f>+'Producción Laminados 2018'!E49+'Impo 2018'!E54-'Expo 2018'!E54</f>
        <v>1251.3036635348997</v>
      </c>
      <c r="F54" s="171">
        <f>+'Producción Laminados 2018'!F49+'Impo 2018'!F54-'Expo 2018'!F54</f>
        <v>1456.6988605711999</v>
      </c>
      <c r="G54" s="171">
        <f>+'Producción Laminados 2018'!G49+'Impo 2018'!G54-'Expo 2018'!G54</f>
        <v>1417.7202500107499</v>
      </c>
      <c r="H54" s="171">
        <f>+'Producción Laminados 2018'!H49+'Impo 2018'!H54-'Expo 2018'!H54</f>
        <v>1403.6586082284998</v>
      </c>
      <c r="I54" s="171">
        <f>+'Producción Laminados 2018'!I49+'Impo 2018'!I54-'Expo 2018'!I54</f>
        <v>1343.8072325179996</v>
      </c>
      <c r="J54" s="171">
        <f>+'Producción Laminados 2018'!J49+'Impo 2018'!J54-'Expo 2018'!J54</f>
        <v>1328.1320038107999</v>
      </c>
      <c r="K54" s="171">
        <f>+'Producción Laminados 2018'!K49+'Impo 2018'!K54-'Expo 2018'!K54</f>
        <v>1333.5851666078202</v>
      </c>
      <c r="L54" s="171">
        <f>+'Producción Laminados 2018'!L49+'Impo 2018'!L54-'Expo 2018'!L54</f>
        <v>1236.9567539567997</v>
      </c>
      <c r="M54" s="171">
        <f>+'Producción Laminados 2018'!M49+'Impo 2018'!M54-'Expo 2018'!M54</f>
        <v>1399.0073704879001</v>
      </c>
      <c r="N54" s="171">
        <f>+'Producción Laminados 2018'!N49+'Impo 2018'!N54-'Expo 2018'!N54</f>
        <v>1334.8410000000001</v>
      </c>
      <c r="O54" s="171"/>
      <c r="P54" s="171">
        <f>+SUM(D54:O54)</f>
        <v>14875.940274638569</v>
      </c>
      <c r="R54" s="55"/>
      <c r="Y54" s="78"/>
    </row>
    <row r="55" spans="2:26" ht="18" customHeight="1" thickTop="1" thickBot="1">
      <c r="B55" s="260"/>
      <c r="C55" s="29" t="s">
        <v>60</v>
      </c>
      <c r="D55" s="171">
        <f>+'Producción Laminados 2018'!D50+'Impo 2018'!D55-'Expo 2018'!D55</f>
        <v>32.002674194599976</v>
      </c>
      <c r="E55" s="171">
        <f>+'Producción Laminados 2018'!E50+'Impo 2018'!E55-'Expo 2018'!E55</f>
        <v>-3.2049703755000394</v>
      </c>
      <c r="F55" s="171">
        <f>+'Producción Laminados 2018'!F50+'Impo 2018'!F55-'Expo 2018'!F55</f>
        <v>27.990023656200023</v>
      </c>
      <c r="G55" s="171">
        <f>+'Producción Laminados 2018'!G50+'Impo 2018'!G55-'Expo 2018'!G55</f>
        <v>33.294378463099989</v>
      </c>
      <c r="H55" s="171">
        <f>+'Producción Laminados 2018'!H50+'Impo 2018'!H55-'Expo 2018'!H55</f>
        <v>-2.017092126600005</v>
      </c>
      <c r="I55" s="171">
        <f>+'Producción Laminados 2018'!I50+'Impo 2018'!I55-'Expo 2018'!I55</f>
        <v>38.248057616500006</v>
      </c>
      <c r="J55" s="171">
        <f>+'Producción Laminados 2018'!J50+'Impo 2018'!J55-'Expo 2018'!J55</f>
        <v>14.951463231999995</v>
      </c>
      <c r="K55" s="171">
        <f>+'Producción Laminados 2018'!K50+'Impo 2018'!K55-'Expo 2018'!K55</f>
        <v>22.69201726211999</v>
      </c>
      <c r="L55" s="171">
        <f>+'Producción Laminados 2018'!L50+'Impo 2018'!L55-'Expo 2018'!L55</f>
        <v>19.520308881300025</v>
      </c>
      <c r="M55" s="171">
        <f>+'Producción Laminados 2018'!M50+'Impo 2018'!M55-'Expo 2018'!M55</f>
        <v>48.092515243900003</v>
      </c>
      <c r="N55" s="171">
        <f>+'Producción Laminados 2018'!N50+'Impo 2018'!N55-'Expo 2018'!N55</f>
        <v>22.795999999999999</v>
      </c>
      <c r="O55" s="171"/>
      <c r="P55" s="34">
        <f>+SUM(D55:O55)</f>
        <v>254.36537604761995</v>
      </c>
      <c r="R55" s="55"/>
      <c r="Y55" s="78"/>
    </row>
    <row r="56" spans="2:26" ht="18" customHeight="1" thickTop="1" thickBot="1">
      <c r="B56" s="260"/>
      <c r="C56" s="29" t="s">
        <v>139</v>
      </c>
      <c r="D56" s="171">
        <f t="shared" ref="D56:H56" si="44">+D53+D54+D55</f>
        <v>2191.6503618173197</v>
      </c>
      <c r="E56" s="171">
        <f t="shared" si="44"/>
        <v>1958.8028435631995</v>
      </c>
      <c r="F56" s="171">
        <f t="shared" si="44"/>
        <v>2214.9517181192996</v>
      </c>
      <c r="G56" s="171">
        <f t="shared" si="44"/>
        <v>2182.8847745814001</v>
      </c>
      <c r="H56" s="171">
        <f t="shared" si="44"/>
        <v>2179.2045513702997</v>
      </c>
      <c r="I56" s="171">
        <f t="shared" ref="I56:J56" si="45">+I53+I54+I55</f>
        <v>2171.1361614340994</v>
      </c>
      <c r="J56" s="171">
        <f t="shared" si="45"/>
        <v>2161.9514491047998</v>
      </c>
      <c r="K56" s="171">
        <f t="shared" ref="K56:L56" si="46">+K53+K54+K55</f>
        <v>2128.68057340935</v>
      </c>
      <c r="L56" s="171">
        <f t="shared" si="46"/>
        <v>1995.5700326532997</v>
      </c>
      <c r="M56" s="171">
        <f t="shared" ref="M56:N56" si="47">+M53+M54+M55</f>
        <v>2249.0624214505001</v>
      </c>
      <c r="N56" s="171">
        <f t="shared" si="47"/>
        <v>2005.8030000000001</v>
      </c>
      <c r="O56" s="151"/>
      <c r="P56" s="34">
        <f>+SUM(D56:O56)</f>
        <v>23439.697887503567</v>
      </c>
      <c r="Q56" s="4" t="s">
        <v>17</v>
      </c>
      <c r="R56" s="55"/>
      <c r="S56" s="12">
        <f ca="1">(P56-SUM('Consumo Aparente 2017'!$D56:OFFSET('Consumo Aparente 2017'!$D56,0,Índice!$Y$5)))</f>
        <v>-989.82954531503856</v>
      </c>
      <c r="U56" s="12"/>
      <c r="Y56" s="78"/>
    </row>
    <row r="57" spans="2:26" ht="18" customHeight="1" thickTop="1" thickBot="1">
      <c r="B57" s="260"/>
      <c r="C57" s="32" t="s">
        <v>179</v>
      </c>
      <c r="D57" s="35">
        <f>+(D56-'Consumo Aparente 2017'!D56)/'Consumo Aparente 2017'!D56</f>
        <v>-3.6560301831181405E-2</v>
      </c>
      <c r="E57" s="35">
        <f>+(E56-'Consumo Aparente 2017'!E56)/'Consumo Aparente 2017'!E56</f>
        <v>-2.5427443840212987E-2</v>
      </c>
      <c r="F57" s="35">
        <f>+(F56-'Consumo Aparente 2017'!F56)/'Consumo Aparente 2017'!F56</f>
        <v>-6.3853975793644602E-2</v>
      </c>
      <c r="G57" s="35">
        <f>+(G56-'Consumo Aparente 2017'!G56)/'Consumo Aparente 2017'!G56</f>
        <v>1.8113887411814954E-4</v>
      </c>
      <c r="H57" s="35">
        <f>+(H56-'Consumo Aparente 2017'!H56)/'Consumo Aparente 2017'!H56</f>
        <v>-0.10593608287300928</v>
      </c>
      <c r="I57" s="35">
        <f>+(I56-'Consumo Aparente 2017'!I56)/'Consumo Aparente 2017'!I56</f>
        <v>-8.9097217293253456E-2</v>
      </c>
      <c r="J57" s="35">
        <f>+(J56-'Consumo Aparente 2017'!J56)/'Consumo Aparente 2017'!J56</f>
        <v>-2.8412714306865452E-2</v>
      </c>
      <c r="K57" s="35">
        <f>+(K56-'Consumo Aparente 2017'!K56)/'Consumo Aparente 2017'!K56</f>
        <v>-2.4319785414348177E-2</v>
      </c>
      <c r="L57" s="35">
        <f>+(L56-'Consumo Aparente 2017'!L56)/'Consumo Aparente 2017'!L56</f>
        <v>-7.02206385526528E-2</v>
      </c>
      <c r="M57" s="35">
        <f>+(M56-'Consumo Aparente 2017'!M56)/'Consumo Aparente 2017'!M56</f>
        <v>1.0600599266812689E-2</v>
      </c>
      <c r="N57" s="35">
        <f>+(N56-'Consumo Aparente 2017'!N56)/'Consumo Aparente 2017'!N56</f>
        <v>4.561887747758629E-3</v>
      </c>
      <c r="O57" s="35">
        <f>+(O56-'Consumo Aparente 2017'!O56)/'Consumo Aparente 2017'!O56</f>
        <v>-1</v>
      </c>
      <c r="P57" s="139">
        <f ca="1">(P56-SUM('Consumo Aparente 2017'!$D56:OFFSET('Consumo Aparente 2017'!$D56,0,Índice!$Y$5)))/SUM('Consumo Aparente 2017'!$D56:OFFSET('Consumo Aparente 2017'!$D56,0,Índice!$Y$5))</f>
        <v>-4.0517752463164816E-2</v>
      </c>
      <c r="R57" s="14"/>
      <c r="Y57" s="78"/>
    </row>
    <row r="58" spans="2:26" s="3" customFormat="1" ht="18" customHeight="1" thickTop="1" thickBot="1">
      <c r="B58" s="260" t="s">
        <v>71</v>
      </c>
      <c r="C58" s="29" t="s">
        <v>65</v>
      </c>
      <c r="D58" s="34">
        <v>40.060396169999983</v>
      </c>
      <c r="E58" s="171">
        <v>4.24593066</v>
      </c>
      <c r="F58" s="171">
        <v>26.641873030000006</v>
      </c>
      <c r="G58" s="171">
        <v>19.763654009999993</v>
      </c>
      <c r="H58" s="171">
        <v>34.089212799999991</v>
      </c>
      <c r="I58" s="171">
        <v>34.610401849999988</v>
      </c>
      <c r="J58" s="171">
        <v>33.475993240000008</v>
      </c>
      <c r="K58" s="171">
        <v>7.351838909999997</v>
      </c>
      <c r="L58" s="171">
        <v>15.42848319</v>
      </c>
      <c r="M58" s="171">
        <v>13.067208919999999</v>
      </c>
      <c r="N58" s="171">
        <v>24.154531070000001</v>
      </c>
      <c r="O58" s="171"/>
      <c r="P58" s="34">
        <f>+SUM(D58:O58)</f>
        <v>252.88952384999996</v>
      </c>
      <c r="R58" s="44"/>
      <c r="S58" s="2"/>
      <c r="U58" s="2"/>
      <c r="Y58" s="79"/>
      <c r="Z58" s="83"/>
    </row>
    <row r="59" spans="2:26" s="3" customFormat="1" ht="18" customHeight="1" thickTop="1" thickBot="1">
      <c r="B59" s="260"/>
      <c r="C59" s="29" t="s">
        <v>59</v>
      </c>
      <c r="D59" s="34">
        <v>33.509883910000006</v>
      </c>
      <c r="E59" s="171">
        <v>3.9791634000000005</v>
      </c>
      <c r="F59" s="171">
        <v>9.498122780000001</v>
      </c>
      <c r="G59" s="171">
        <v>4.98574071</v>
      </c>
      <c r="H59" s="171">
        <v>18.211360059999997</v>
      </c>
      <c r="I59" s="171">
        <v>6.9643572299999992</v>
      </c>
      <c r="J59" s="171">
        <v>4.2414467300000007</v>
      </c>
      <c r="K59" s="171">
        <v>13.429229789999999</v>
      </c>
      <c r="L59" s="171">
        <v>1.3394714100000007</v>
      </c>
      <c r="M59" s="171">
        <v>22.389376590000001</v>
      </c>
      <c r="N59" s="171">
        <v>16.091747959999996</v>
      </c>
      <c r="O59" s="171"/>
      <c r="P59" s="34">
        <f t="shared" si="5"/>
        <v>134.63990057000001</v>
      </c>
      <c r="R59" s="44"/>
      <c r="S59" s="2"/>
      <c r="U59" s="2"/>
      <c r="Y59" s="79"/>
      <c r="Z59" s="83"/>
    </row>
    <row r="60" spans="2:26" s="3" customFormat="1" ht="18" customHeight="1" thickTop="1" thickBot="1">
      <c r="B60" s="260"/>
      <c r="C60" s="29" t="s">
        <v>60</v>
      </c>
      <c r="D60" s="34">
        <v>0.33208508999999997</v>
      </c>
      <c r="E60" s="171">
        <v>6.3092300000000004E-2</v>
      </c>
      <c r="F60" s="171">
        <v>5.8102010000000003E-2</v>
      </c>
      <c r="G60" s="171">
        <v>7.8983419999999999E-2</v>
      </c>
      <c r="H60" s="171">
        <v>0.22794814000000002</v>
      </c>
      <c r="I60" s="171">
        <v>0.19601918999999998</v>
      </c>
      <c r="J60" s="171">
        <v>0.59396848999999996</v>
      </c>
      <c r="K60" s="171">
        <v>0.16195115999999996</v>
      </c>
      <c r="L60" s="171">
        <v>0.33725991000000016</v>
      </c>
      <c r="M60" s="171">
        <v>0.1590085</v>
      </c>
      <c r="N60" s="171">
        <v>8.0016740000000017E-2</v>
      </c>
      <c r="O60" s="52"/>
      <c r="P60" s="34">
        <f t="shared" si="5"/>
        <v>2.2884349500000001</v>
      </c>
      <c r="R60" s="44"/>
      <c r="S60" s="2"/>
      <c r="U60" s="2"/>
      <c r="Y60" s="79"/>
      <c r="Z60" s="83"/>
    </row>
    <row r="61" spans="2:26" s="3" customFormat="1" ht="18" customHeight="1" thickTop="1" thickBot="1">
      <c r="B61" s="260"/>
      <c r="C61" s="29" t="s">
        <v>139</v>
      </c>
      <c r="D61" s="52">
        <f t="shared" ref="D61:I61" si="48">+D58+D59+D60</f>
        <v>73.902365169999996</v>
      </c>
      <c r="E61" s="52">
        <f t="shared" si="48"/>
        <v>8.2881863599999992</v>
      </c>
      <c r="F61" s="52">
        <f t="shared" si="48"/>
        <v>36.198097820000008</v>
      </c>
      <c r="G61" s="52">
        <f t="shared" si="48"/>
        <v>24.828378139999991</v>
      </c>
      <c r="H61" s="52">
        <f t="shared" si="48"/>
        <v>52.528520999999991</v>
      </c>
      <c r="I61" s="52">
        <f t="shared" si="48"/>
        <v>41.770778269999987</v>
      </c>
      <c r="J61" s="52">
        <f t="shared" ref="J61:K61" si="49">+J58+J59+J60</f>
        <v>38.31140846000001</v>
      </c>
      <c r="K61" s="52">
        <f t="shared" si="49"/>
        <v>20.943019859999996</v>
      </c>
      <c r="L61" s="52">
        <f t="shared" ref="L61:M61" si="50">+L58+L59+L60</f>
        <v>17.10521451</v>
      </c>
      <c r="M61" s="52">
        <f t="shared" si="50"/>
        <v>35.615594009999995</v>
      </c>
      <c r="N61" s="52">
        <f t="shared" ref="N61" si="51">+N58+N59+N60</f>
        <v>40.326295769999994</v>
      </c>
      <c r="O61" s="52"/>
      <c r="P61" s="34">
        <f t="shared" si="5"/>
        <v>389.81785936999995</v>
      </c>
      <c r="R61" s="44"/>
      <c r="S61" s="12">
        <f ca="1">(P61-SUM('Consumo Aparente 2017'!$D61:OFFSET('Consumo Aparente 2017'!$D61,0,Índice!$Y$5)))</f>
        <v>-22.33693882</v>
      </c>
      <c r="T61" s="2"/>
      <c r="U61" s="12"/>
      <c r="Y61" s="79"/>
      <c r="Z61" s="83"/>
    </row>
    <row r="62" spans="2:26" s="3" customFormat="1" ht="18" customHeight="1" thickTop="1" thickBot="1">
      <c r="B62" s="260"/>
      <c r="C62" s="32" t="s">
        <v>179</v>
      </c>
      <c r="D62" s="35">
        <f>+(D61-'Consumo Aparente 2017'!D61)/'Consumo Aparente 2017'!D61</f>
        <v>0.70402695688797479</v>
      </c>
      <c r="E62" s="35">
        <f>+(E61-'Consumo Aparente 2017'!E61)/'Consumo Aparente 2017'!E61</f>
        <v>-0.60348588389004842</v>
      </c>
      <c r="F62" s="35">
        <f>+(F61-'Consumo Aparente 2017'!F61)/'Consumo Aparente 2017'!F61</f>
        <v>0.99173671837084865</v>
      </c>
      <c r="G62" s="35">
        <f>+(G61-'Consumo Aparente 2017'!G61)/'Consumo Aparente 2017'!G61</f>
        <v>-0.61953963435411896</v>
      </c>
      <c r="H62" s="35">
        <f>+(H61-'Consumo Aparente 2017'!H61)/'Consumo Aparente 2017'!H61</f>
        <v>0.23263540078294428</v>
      </c>
      <c r="I62" s="35">
        <f>+(I61-'Consumo Aparente 2017'!I61)/'Consumo Aparente 2017'!I61</f>
        <v>0.22241098405770732</v>
      </c>
      <c r="J62" s="35">
        <f>+(J61-'Consumo Aparente 2017'!J61)/'Consumo Aparente 2017'!J61</f>
        <v>-0.44222804496002932</v>
      </c>
      <c r="K62" s="35">
        <f>+(K61-'Consumo Aparente 2017'!K61)/'Consumo Aparente 2017'!K61</f>
        <v>-0.51215940686746353</v>
      </c>
      <c r="L62" s="35">
        <f>+(L61-'Consumo Aparente 2017'!L61)/'Consumo Aparente 2017'!L61</f>
        <v>-0.37332821125604349</v>
      </c>
      <c r="M62" s="35">
        <f>+(M61-'Consumo Aparente 2017'!M61)/'Consumo Aparente 2017'!M61</f>
        <v>0.50254917042424918</v>
      </c>
      <c r="N62" s="35">
        <f>+(N61-'Consumo Aparente 2017'!N61)/'Consumo Aparente 2017'!N61</f>
        <v>0.60989300114235345</v>
      </c>
      <c r="O62" s="35">
        <f>+(O61-'Consumo Aparente 2017'!O61)/'Consumo Aparente 2017'!O61</f>
        <v>-1</v>
      </c>
      <c r="P62" s="139">
        <f ca="1">(P61-SUM('Consumo Aparente 2017'!$D61:OFFSET('Consumo Aparente 2017'!$D61,0,Índice!$Y$5)))/SUM('Consumo Aparente 2017'!$D61:OFFSET('Consumo Aparente 2017'!$D61,0,Índice!$Y$5))</f>
        <v>-5.4195508382029939E-2</v>
      </c>
      <c r="R62" s="44"/>
      <c r="S62" s="2"/>
      <c r="U62" s="2"/>
      <c r="Y62" s="79"/>
      <c r="Z62" s="83"/>
    </row>
    <row r="63" spans="2:26" s="3" customFormat="1" ht="18" customHeight="1" thickTop="1" thickBot="1">
      <c r="B63" s="261" t="s">
        <v>6</v>
      </c>
      <c r="C63" s="29" t="s">
        <v>65</v>
      </c>
      <c r="D63" s="34">
        <f>+'Producción Laminados 2018'!D53+'Impo 2018'!D63-'Expo 2018'!D63</f>
        <v>11.777328089999999</v>
      </c>
      <c r="E63" s="171">
        <f>+'Producción Laminados 2018'!E53+'Impo 2018'!E63-'Expo 2018'!E63</f>
        <v>8.9056269500000003</v>
      </c>
      <c r="F63" s="171">
        <f>+'Producción Laminados 2018'!F53+'Impo 2018'!F63-'Expo 2018'!F63</f>
        <v>11.0857081</v>
      </c>
      <c r="G63" s="171">
        <f>+'Producción Laminados 2018'!G53+'Impo 2018'!G63-'Expo 2018'!G63</f>
        <v>19.113076100000001</v>
      </c>
      <c r="H63" s="171">
        <f>+'Producción Laminados 2018'!H53+'Impo 2018'!H63-'Expo 2018'!H63</f>
        <v>12.458491739999999</v>
      </c>
      <c r="I63" s="171">
        <f>+'Producción Laminados 2018'!I53+'Impo 2018'!I63-'Expo 2018'!I63</f>
        <v>13.375433290000002</v>
      </c>
      <c r="J63" s="171">
        <f>+'Producción Laminados 2018'!J53+'Impo 2018'!J63-'Expo 2018'!J63</f>
        <v>13.673811229999998</v>
      </c>
      <c r="K63" s="171">
        <f>+'Producción Laminados 2018'!K53+'Impo 2018'!K63-'Expo 2018'!K63</f>
        <v>16.785321639999999</v>
      </c>
      <c r="L63" s="171">
        <f>+'Producción Laminados 2018'!L53+'Impo 2018'!L63-'Expo 2018'!L63</f>
        <v>16.479593000000001</v>
      </c>
      <c r="M63" s="171">
        <f>+'Producción Laminados 2018'!M53+'Impo 2018'!M63-'Expo 2018'!M63</f>
        <v>15.370593</v>
      </c>
      <c r="N63" s="171">
        <f>+'Producción Laminados 2018'!N53+'Impo 2018'!N63-'Expo 2018'!N63</f>
        <v>15.462087</v>
      </c>
      <c r="O63" s="171"/>
      <c r="P63" s="34">
        <f>+SUM(D63:O63)</f>
        <v>154.48707014000001</v>
      </c>
      <c r="R63" s="44"/>
      <c r="S63" s="2"/>
      <c r="U63" s="2"/>
      <c r="Y63" s="79"/>
      <c r="Z63" s="83"/>
    </row>
    <row r="64" spans="2:26" s="3" customFormat="1" ht="18" customHeight="1" thickTop="1" thickBot="1">
      <c r="B64" s="261"/>
      <c r="C64" s="29" t="s">
        <v>59</v>
      </c>
      <c r="D64" s="34">
        <f>+'Producción Laminados 2018'!D54+'Impo 2018'!D64-'Expo 2018'!D64</f>
        <v>27.268237309999993</v>
      </c>
      <c r="E64" s="171">
        <f>+'Producción Laminados 2018'!E54+'Impo 2018'!E64-'Expo 2018'!E64</f>
        <v>16.460138430000004</v>
      </c>
      <c r="F64" s="171">
        <f>+'Producción Laminados 2018'!F54+'Impo 2018'!F64-'Expo 2018'!F64</f>
        <v>21.686826049999997</v>
      </c>
      <c r="G64" s="171">
        <f>+'Producción Laminados 2018'!G54+'Impo 2018'!G64-'Expo 2018'!G64</f>
        <v>38.662501210000002</v>
      </c>
      <c r="H64" s="171">
        <f>+'Producción Laminados 2018'!H54+'Impo 2018'!H64-'Expo 2018'!H64</f>
        <v>31.040767930000001</v>
      </c>
      <c r="I64" s="171">
        <f>+'Producción Laminados 2018'!I54+'Impo 2018'!I64-'Expo 2018'!I64</f>
        <v>26.832981490000002</v>
      </c>
      <c r="J64" s="171">
        <f>+'Producción Laminados 2018'!J54+'Impo 2018'!J64-'Expo 2018'!J64</f>
        <v>19.061291300000001</v>
      </c>
      <c r="K64" s="171">
        <f>+'Producción Laminados 2018'!K54+'Impo 2018'!K64-'Expo 2018'!K64</f>
        <v>21.502340829999998</v>
      </c>
      <c r="L64" s="171">
        <f>+'Producción Laminados 2018'!L54+'Impo 2018'!L64-'Expo 2018'!L64</f>
        <v>15.329115</v>
      </c>
      <c r="M64" s="171">
        <f>+'Producción Laminados 2018'!M54+'Impo 2018'!M64-'Expo 2018'!M64</f>
        <v>18.571526000000002</v>
      </c>
      <c r="N64" s="171">
        <f>+'Producción Laminados 2018'!N54+'Impo 2018'!N64-'Expo 2018'!N64</f>
        <v>15.811007999999999</v>
      </c>
      <c r="O64" s="171"/>
      <c r="P64" s="34">
        <f t="shared" si="5"/>
        <v>252.22673355000001</v>
      </c>
      <c r="R64" s="44"/>
      <c r="S64" s="2"/>
      <c r="U64" s="2"/>
      <c r="Y64" s="79"/>
      <c r="Z64" s="83"/>
    </row>
    <row r="65" spans="2:26" s="3" customFormat="1" ht="18" customHeight="1" thickTop="1" thickBot="1">
      <c r="B65" s="261"/>
      <c r="C65" s="29" t="s">
        <v>60</v>
      </c>
      <c r="D65" s="34">
        <f>+'Producción Laminados 2018'!D55+'Impo 2018'!D65-'Expo 2018'!D65</f>
        <v>0.38759686999999998</v>
      </c>
      <c r="E65" s="171">
        <f>+'Producción Laminados 2018'!E55+'Impo 2018'!E65-'Expo 2018'!E65</f>
        <v>5.2566220000000004E-2</v>
      </c>
      <c r="F65" s="171">
        <f>+'Producción Laminados 2018'!F55+'Impo 2018'!F65-'Expo 2018'!F65</f>
        <v>0.38357680999999999</v>
      </c>
      <c r="G65" s="171">
        <f>+'Producción Laminados 2018'!G55+'Impo 2018'!G65-'Expo 2018'!G65</f>
        <v>0.12315247000000001</v>
      </c>
      <c r="H65" s="171">
        <f>+'Producción Laminados 2018'!H55+'Impo 2018'!H65-'Expo 2018'!H65</f>
        <v>0.7398972800000001</v>
      </c>
      <c r="I65" s="171">
        <f>+'Producción Laminados 2018'!I55+'Impo 2018'!I65-'Expo 2018'!I65</f>
        <v>0.26133982</v>
      </c>
      <c r="J65" s="171">
        <f>+'Producción Laminados 2018'!J55+'Impo 2018'!J65-'Expo 2018'!J65</f>
        <v>3.7220200000000009E-2</v>
      </c>
      <c r="K65" s="171">
        <f>+'Producción Laminados 2018'!K55+'Impo 2018'!K65-'Expo 2018'!K65</f>
        <v>0.12984950000000001</v>
      </c>
      <c r="L65" s="171">
        <f>+'Producción Laminados 2018'!L55+'Impo 2018'!L65-'Expo 2018'!L65</f>
        <v>0.28893999999999997</v>
      </c>
      <c r="M65" s="171">
        <f>+'Producción Laminados 2018'!M55+'Impo 2018'!M65-'Expo 2018'!M65</f>
        <v>0.25644099999999997</v>
      </c>
      <c r="N65" s="171">
        <f>+'Producción Laminados 2018'!N55+'Impo 2018'!N65-'Expo 2018'!N65</f>
        <v>1.6084999999999999E-2</v>
      </c>
      <c r="O65" s="52"/>
      <c r="P65" s="34">
        <f t="shared" si="5"/>
        <v>2.6766651699999997</v>
      </c>
      <c r="R65" s="44"/>
      <c r="S65" s="2"/>
      <c r="U65" s="2"/>
      <c r="Y65" s="79"/>
      <c r="Z65" s="83"/>
    </row>
    <row r="66" spans="2:26" s="3" customFormat="1" ht="18" customHeight="1" thickTop="1" thickBot="1">
      <c r="B66" s="261"/>
      <c r="C66" s="29" t="s">
        <v>139</v>
      </c>
      <c r="D66" s="52">
        <f t="shared" ref="D66:I66" si="52">+D63+D64+D65</f>
        <v>39.433162269999997</v>
      </c>
      <c r="E66" s="52">
        <f t="shared" si="52"/>
        <v>25.418331600000005</v>
      </c>
      <c r="F66" s="52">
        <f t="shared" si="52"/>
        <v>33.156110959999999</v>
      </c>
      <c r="G66" s="52">
        <f t="shared" si="52"/>
        <v>57.898729780000004</v>
      </c>
      <c r="H66" s="52">
        <f t="shared" si="52"/>
        <v>44.239156950000002</v>
      </c>
      <c r="I66" s="52">
        <f t="shared" si="52"/>
        <v>40.469754600000009</v>
      </c>
      <c r="J66" s="52">
        <f t="shared" ref="J66:K66" si="53">+J63+J64+J65</f>
        <v>32.772322729999999</v>
      </c>
      <c r="K66" s="52">
        <f t="shared" si="53"/>
        <v>38.41751197</v>
      </c>
      <c r="L66" s="52">
        <f t="shared" ref="L66:M66" si="54">+L63+L64+L65</f>
        <v>32.097648</v>
      </c>
      <c r="M66" s="52">
        <f t="shared" si="54"/>
        <v>34.198560000000008</v>
      </c>
      <c r="N66" s="52">
        <f t="shared" ref="N66" si="55">+N63+N64+N65</f>
        <v>31.289179999999998</v>
      </c>
      <c r="O66" s="52"/>
      <c r="P66" s="34">
        <f t="shared" si="5"/>
        <v>409.39046886</v>
      </c>
      <c r="R66" s="44"/>
      <c r="S66" s="12">
        <f ca="1">(P66-SUM('Consumo Aparente 2017'!$D66:OFFSET('Consumo Aparente 2017'!$D66,0,Índice!$Y$5)))</f>
        <v>111.90745501999999</v>
      </c>
      <c r="T66" s="2"/>
      <c r="U66" s="12"/>
      <c r="Y66" s="79"/>
      <c r="Z66" s="83"/>
    </row>
    <row r="67" spans="2:26" s="3" customFormat="1" ht="18" customHeight="1" thickTop="1" thickBot="1">
      <c r="B67" s="261"/>
      <c r="C67" s="32" t="s">
        <v>179</v>
      </c>
      <c r="D67" s="35">
        <f>+(D66-'Consumo Aparente 2017'!D66)/'Consumo Aparente 2017'!D66</f>
        <v>0.45214305421912954</v>
      </c>
      <c r="E67" s="35">
        <f>+(E66-'Consumo Aparente 2017'!E66)/'Consumo Aparente 2017'!E66</f>
        <v>-0.12565203447660164</v>
      </c>
      <c r="F67" s="35">
        <f>+(F66-'Consumo Aparente 2017'!F66)/'Consumo Aparente 2017'!F66</f>
        <v>0.22434101869994894</v>
      </c>
      <c r="G67" s="35">
        <f>+(G66-'Consumo Aparente 2017'!G66)/'Consumo Aparente 2017'!G66</f>
        <v>1.939913074023341</v>
      </c>
      <c r="H67" s="35">
        <f>+(H66-'Consumo Aparente 2017'!H66)/'Consumo Aparente 2017'!H66</f>
        <v>0.42148860201599775</v>
      </c>
      <c r="I67" s="35">
        <f>+(I66-'Consumo Aparente 2017'!I66)/'Consumo Aparente 2017'!I66</f>
        <v>0.1743620957794208</v>
      </c>
      <c r="J67" s="35">
        <f>+(J66-'Consumo Aparente 2017'!J66)/'Consumo Aparente 2017'!J66</f>
        <v>18.958479761270382</v>
      </c>
      <c r="K67" s="35">
        <f>+(K66-'Consumo Aparente 2017'!K66)/'Consumo Aparente 2017'!K66</f>
        <v>6.4945405090120589E-2</v>
      </c>
      <c r="L67" s="35">
        <f>+(L66-'Consumo Aparente 2017'!L66)/'Consumo Aparente 2017'!L66</f>
        <v>-1.3518051633917991E-2</v>
      </c>
      <c r="M67" s="35">
        <f>+(M66-'Consumo Aparente 2017'!M66)/'Consumo Aparente 2017'!M66</f>
        <v>0.24643218047678569</v>
      </c>
      <c r="N67" s="35">
        <f>+(N66-'Consumo Aparente 2017'!N66)/'Consumo Aparente 2017'!N66</f>
        <v>2.6077257480072728E-3</v>
      </c>
      <c r="O67" s="35">
        <f>+(O66-'Consumo Aparente 2017'!O66)/'Consumo Aparente 2017'!O66</f>
        <v>-1</v>
      </c>
      <c r="P67" s="139">
        <f ca="1">(P66-SUM('Consumo Aparente 2017'!$D66:OFFSET('Consumo Aparente 2017'!$D66,0,Índice!$Y$5)))/SUM('Consumo Aparente 2017'!$D66:OFFSET('Consumo Aparente 2017'!$D66,0,Índice!$Y$5))</f>
        <v>0.37618099122859144</v>
      </c>
      <c r="R67" s="44"/>
      <c r="S67" s="2"/>
      <c r="U67" s="2"/>
      <c r="Y67" s="79"/>
      <c r="Z67" s="83"/>
    </row>
    <row r="68" spans="2:26" s="3" customFormat="1" ht="18" customHeight="1" thickTop="1" thickBot="1">
      <c r="B68" s="261" t="s">
        <v>44</v>
      </c>
      <c r="C68" s="29" t="s">
        <v>65</v>
      </c>
      <c r="D68" s="171">
        <f>+'Producción Laminados 2018'!D58+'Impo 2018'!D68-'Expo 2018'!D68</f>
        <v>182.7435985110003</v>
      </c>
      <c r="E68" s="171">
        <f>+'Producción Laminados 2018'!E58+'Impo 2018'!E68-'Expo 2018'!E68</f>
        <v>114.63288973700008</v>
      </c>
      <c r="F68" s="171">
        <f>+'Producción Laminados 2018'!F58+'Impo 2018'!F68-'Expo 2018'!F68</f>
        <v>166.86437753300001</v>
      </c>
      <c r="G68" s="171">
        <f>+'Producción Laminados 2018'!G58+'Impo 2018'!G68-'Expo 2018'!G68</f>
        <v>177.51956224799997</v>
      </c>
      <c r="H68" s="171">
        <f>+'Producción Laminados 2018'!H58+'Impo 2018'!H68-'Expo 2018'!H68</f>
        <v>172.41949508799999</v>
      </c>
      <c r="I68" s="171">
        <f>+'Producción Laminados 2018'!I58+'Impo 2018'!I68-'Expo 2018'!I68</f>
        <v>200.0660997370004</v>
      </c>
      <c r="J68" s="170">
        <f>+'Producción Laminados 2018'!J58+'Impo 2018'!J68-'Expo 2018'!J68</f>
        <v>197.79971471999997</v>
      </c>
      <c r="K68" s="170">
        <f>+'Producción Laminados 2018'!K58+'Impo 2018'!K68-'Expo 2018'!K68</f>
        <v>160.68183017000007</v>
      </c>
      <c r="L68" s="170">
        <f>+'Producción Laminados 2018'!L58+'Impo 2018'!L68-'Expo 2018'!L68</f>
        <v>165.86657934999999</v>
      </c>
      <c r="M68" s="170">
        <f>+'Producción Laminados 2018'!M58+'Impo 2018'!M68-'Expo 2018'!M68</f>
        <v>184.67170661999995</v>
      </c>
      <c r="N68" s="170">
        <f>+'Producción Laminados 2018'!N58+'Impo 2018'!N68-'Expo 2018'!N68</f>
        <v>209.82731065999977</v>
      </c>
      <c r="O68" s="171"/>
      <c r="P68" s="34">
        <f>+SUM(D68:O68)</f>
        <v>1933.0931643740003</v>
      </c>
      <c r="R68" s="44"/>
      <c r="S68" s="2"/>
      <c r="U68" s="2"/>
      <c r="Y68" s="79"/>
      <c r="Z68" s="83"/>
    </row>
    <row r="69" spans="2:26" s="3" customFormat="1" ht="18" customHeight="1" thickTop="1" thickBot="1">
      <c r="B69" s="261"/>
      <c r="C69" s="29" t="s">
        <v>59</v>
      </c>
      <c r="D69" s="171">
        <f>+'Producción Laminados 2018'!D59+'Impo 2018'!D69-'Expo 2018'!D69</f>
        <v>68.841306363000044</v>
      </c>
      <c r="E69" s="171">
        <f>+'Producción Laminados 2018'!E59+'Impo 2018'!E69-'Expo 2018'!E69</f>
        <v>41.192202287000015</v>
      </c>
      <c r="F69" s="171">
        <f>+'Producción Laminados 2018'!F59+'Impo 2018'!F69-'Expo 2018'!F69</f>
        <v>58.83853331000001</v>
      </c>
      <c r="G69" s="171">
        <f>+'Producción Laminados 2018'!G59+'Impo 2018'!G69-'Expo 2018'!G69</f>
        <v>69.365019867999948</v>
      </c>
      <c r="H69" s="171">
        <f>+'Producción Laminados 2018'!H59+'Impo 2018'!H69-'Expo 2018'!H69</f>
        <v>67.197844852000003</v>
      </c>
      <c r="I69" s="171">
        <f>+'Producción Laminados 2018'!I59+'Impo 2018'!I69-'Expo 2018'!I69</f>
        <v>80.524511174000054</v>
      </c>
      <c r="J69" s="170">
        <f>+'Producción Laminados 2018'!J59+'Impo 2018'!J69-'Expo 2018'!J69</f>
        <v>64.052406960000027</v>
      </c>
      <c r="K69" s="170">
        <f>+'Producción Laminados 2018'!K59+'Impo 2018'!K69-'Expo 2018'!K69</f>
        <v>110.04128864</v>
      </c>
      <c r="L69" s="170">
        <f>+'Producción Laminados 2018'!L59+'Impo 2018'!L69-'Expo 2018'!L69</f>
        <v>57.223764140000007</v>
      </c>
      <c r="M69" s="170">
        <f>+'Producción Laminados 2018'!M59+'Impo 2018'!M69-'Expo 2018'!M69</f>
        <v>93.433864549999925</v>
      </c>
      <c r="N69" s="170">
        <f>+'Producción Laminados 2018'!N59+'Impo 2018'!N69-'Expo 2018'!N69</f>
        <v>85.240590720000029</v>
      </c>
      <c r="O69" s="171"/>
      <c r="P69" s="34">
        <f t="shared" si="5"/>
        <v>795.95133286400005</v>
      </c>
      <c r="R69" s="44"/>
      <c r="S69" s="2"/>
      <c r="U69" s="2"/>
      <c r="Y69" s="79"/>
      <c r="Z69" s="83"/>
    </row>
    <row r="70" spans="2:26" s="3" customFormat="1" ht="18" customHeight="1" thickTop="1" thickBot="1">
      <c r="B70" s="261"/>
      <c r="C70" s="29" t="s">
        <v>60</v>
      </c>
      <c r="D70" s="171">
        <f>+'Producción Laminados 2018'!D60+'Impo 2018'!D70-'Expo 2018'!D70</f>
        <v>2.5125062700000003</v>
      </c>
      <c r="E70" s="171">
        <f>+'Producción Laminados 2018'!E60+'Impo 2018'!E70-'Expo 2018'!E70</f>
        <v>1.991183479999999</v>
      </c>
      <c r="F70" s="171">
        <f>+'Producción Laminados 2018'!F60+'Impo 2018'!F70-'Expo 2018'!F70</f>
        <v>7.0832378099999804</v>
      </c>
      <c r="G70" s="171">
        <f>+'Producción Laminados 2018'!G60+'Impo 2018'!G70-'Expo 2018'!G70</f>
        <v>2.1903129100000047</v>
      </c>
      <c r="H70" s="171">
        <f>+'Producción Laminados 2018'!H60+'Impo 2018'!H70-'Expo 2018'!H70</f>
        <v>6.763664730000003</v>
      </c>
      <c r="I70" s="171">
        <f>+'Producción Laminados 2018'!I60+'Impo 2018'!I70-'Expo 2018'!I70</f>
        <v>6.664021349999997</v>
      </c>
      <c r="J70" s="170">
        <f>+'Producción Laminados 2018'!J60+'Impo 2018'!J70-'Expo 2018'!J70</f>
        <v>7.2285406499999993</v>
      </c>
      <c r="K70" s="170">
        <f>+'Producción Laminados 2018'!K60+'Impo 2018'!K70-'Expo 2018'!K70</f>
        <v>3.2462001900000095</v>
      </c>
      <c r="L70" s="170">
        <f>+'Producción Laminados 2018'!L60+'Impo 2018'!L70-'Expo 2018'!L70</f>
        <v>2.698381119999997</v>
      </c>
      <c r="M70" s="170">
        <f>+'Producción Laminados 2018'!M60+'Impo 2018'!M70-'Expo 2018'!M70</f>
        <v>13.411706549999993</v>
      </c>
      <c r="N70" s="170">
        <f>+'Producción Laminados 2018'!N60+'Impo 2018'!N70-'Expo 2018'!N70</f>
        <v>4.5124839599999973</v>
      </c>
      <c r="O70" s="171"/>
      <c r="P70" s="34">
        <f t="shared" si="5"/>
        <v>58.302239019999973</v>
      </c>
      <c r="R70" s="44"/>
      <c r="S70" s="2"/>
      <c r="U70" s="2"/>
      <c r="Y70" s="79"/>
      <c r="Z70" s="83"/>
    </row>
    <row r="71" spans="2:26" s="3" customFormat="1" ht="18" customHeight="1" thickTop="1" thickBot="1">
      <c r="B71" s="261"/>
      <c r="C71" s="29" t="s">
        <v>139</v>
      </c>
      <c r="D71" s="52">
        <f>+D68+D69+D70</f>
        <v>254.09741114400035</v>
      </c>
      <c r="E71" s="52">
        <f t="shared" ref="E71:F71" si="56">+E68+E69+E70</f>
        <v>157.81627550400009</v>
      </c>
      <c r="F71" s="52">
        <f t="shared" si="56"/>
        <v>232.786148653</v>
      </c>
      <c r="G71" s="52">
        <f t="shared" ref="G71:H71" si="57">+G68+G69+G70</f>
        <v>249.07489502599995</v>
      </c>
      <c r="H71" s="52">
        <f t="shared" si="57"/>
        <v>246.38100467000001</v>
      </c>
      <c r="I71" s="52">
        <f t="shared" ref="I71:K71" si="58">+I68+I69+I70</f>
        <v>287.25463226100044</v>
      </c>
      <c r="J71" s="53">
        <f t="shared" si="58"/>
        <v>269.08066233</v>
      </c>
      <c r="K71" s="53">
        <f t="shared" si="58"/>
        <v>273.9693190000001</v>
      </c>
      <c r="L71" s="53">
        <f t="shared" ref="L71:M71" si="59">+L68+L69+L70</f>
        <v>225.78872461</v>
      </c>
      <c r="M71" s="53">
        <f t="shared" si="59"/>
        <v>291.51727771999987</v>
      </c>
      <c r="N71" s="53">
        <f t="shared" ref="N71" si="60">+N68+N69+N70</f>
        <v>299.58038533999979</v>
      </c>
      <c r="O71" s="52"/>
      <c r="P71" s="34">
        <f t="shared" si="5"/>
        <v>2787.3467362580009</v>
      </c>
      <c r="R71" s="44"/>
      <c r="S71" s="12">
        <f ca="1">(P71-SUM('Consumo Aparente 2017'!$D71:OFFSET('Consumo Aparente 2017'!$D71,0,Índice!$Y$5)))</f>
        <v>-583.88749457366657</v>
      </c>
      <c r="U71" s="12"/>
      <c r="Y71" s="79"/>
      <c r="Z71" s="83"/>
    </row>
    <row r="72" spans="2:26" s="3" customFormat="1" ht="18" customHeight="1" thickTop="1" thickBot="1">
      <c r="B72" s="261"/>
      <c r="C72" s="32" t="s">
        <v>179</v>
      </c>
      <c r="D72" s="35">
        <f>+(D71-'Consumo Aparente 2017'!D71)/'Consumo Aparente 2017'!D71</f>
        <v>-0.10163431983712705</v>
      </c>
      <c r="E72" s="35">
        <f>+(E71-'Consumo Aparente 2017'!E71)/'Consumo Aparente 2017'!E71</f>
        <v>-0.39860422164242576</v>
      </c>
      <c r="F72" s="35">
        <f>+(F71-'Consumo Aparente 2017'!F71)/'Consumo Aparente 2017'!F71</f>
        <v>-0.176414394055386</v>
      </c>
      <c r="G72" s="35">
        <f>+(G71-'Consumo Aparente 2017'!G71)/'Consumo Aparente 2017'!G71</f>
        <v>-0.23457896055118341</v>
      </c>
      <c r="H72" s="35">
        <f>+(H71-'Consumo Aparente 2017'!H71)/'Consumo Aparente 2017'!H71</f>
        <v>-0.25223752797496751</v>
      </c>
      <c r="I72" s="35">
        <f>+(I71-'Consumo Aparente 2017'!I71)/'Consumo Aparente 2017'!I71</f>
        <v>-8.5250768773536462E-2</v>
      </c>
      <c r="J72" s="172">
        <f>+(J71-'Consumo Aparente 2017'!J71)/'Consumo Aparente 2017'!J71</f>
        <v>-0.17569064134695855</v>
      </c>
      <c r="K72" s="172">
        <f>+(K71-'Consumo Aparente 2017'!K71)/'Consumo Aparente 2017'!K71</f>
        <v>-0.1860828357600659</v>
      </c>
      <c r="L72" s="172">
        <f>+(L71-'Consumo Aparente 2017'!L71)/'Consumo Aparente 2017'!L71</f>
        <v>-0.31205516973169228</v>
      </c>
      <c r="M72" s="172">
        <f>+(M71-'Consumo Aparente 2017'!M71)/'Consumo Aparente 2017'!M71</f>
        <v>-9.7741718538881441E-3</v>
      </c>
      <c r="N72" s="172">
        <f>+(N71-'Consumo Aparente 2017'!N71)/'Consumo Aparente 2017'!N71</f>
        <v>3.7477525541422134E-2</v>
      </c>
      <c r="O72" s="35">
        <f>+(O71-'Consumo Aparente 2017'!O71)/'Consumo Aparente 2017'!O71</f>
        <v>-1</v>
      </c>
      <c r="P72" s="139">
        <f ca="1">(P71-SUM('Consumo Aparente 2017'!$D71:OFFSET('Consumo Aparente 2017'!$D71,0,Índice!$Y$5)))/SUM('Consumo Aparente 2017'!$D71:OFFSET('Consumo Aparente 2017'!$D71,0,Índice!$Y$5))</f>
        <v>-0.17319695239023017</v>
      </c>
      <c r="R72" s="44"/>
      <c r="S72" s="2"/>
      <c r="U72" s="2"/>
      <c r="Y72" s="79"/>
      <c r="Z72" s="83"/>
    </row>
    <row r="73" spans="2:26" s="3" customFormat="1" ht="18" customHeight="1" thickTop="1" thickBot="1">
      <c r="B73" s="261" t="s">
        <v>64</v>
      </c>
      <c r="C73" s="29" t="s">
        <v>65</v>
      </c>
      <c r="D73" s="34">
        <f>+'Producción Laminados 2018'!D63</f>
        <v>36.630000000000003</v>
      </c>
      <c r="E73" s="171">
        <f>+'Producción Laminados 2018'!E63</f>
        <v>38.85</v>
      </c>
      <c r="F73" s="171">
        <f>+'Producción Laminados 2018'!F63</f>
        <v>39.96</v>
      </c>
      <c r="G73" s="171">
        <f>+'Producción Laminados 2018'!G63</f>
        <v>37.185000000000002</v>
      </c>
      <c r="H73" s="171">
        <f>+'Producción Laminados 2018'!H63</f>
        <v>35.520000000000003</v>
      </c>
      <c r="I73" s="171">
        <f>+'Producción Laminados 2018'!I63</f>
        <v>38.85</v>
      </c>
      <c r="J73" s="171">
        <f>+'Producción Laminados 2018'!J63</f>
        <v>42.180000000000007</v>
      </c>
      <c r="K73" s="171">
        <f>+'Producción Laminados 2018'!K63</f>
        <v>41.07</v>
      </c>
      <c r="L73" s="171">
        <f>+'Producción Laminados 2018'!L63</f>
        <v>38.85</v>
      </c>
      <c r="M73" s="171">
        <f>+'Producción Laminados 2018'!M63</f>
        <v>37.74</v>
      </c>
      <c r="N73" s="171">
        <f>+'Producción Laminados 2018'!N63</f>
        <v>39.96</v>
      </c>
      <c r="O73" s="171"/>
      <c r="P73" s="34">
        <f>+SUM(D73:O73)</f>
        <v>426.79500000000002</v>
      </c>
      <c r="R73" s="44"/>
      <c r="S73" s="2"/>
      <c r="U73" s="2"/>
      <c r="Y73" s="79"/>
      <c r="Z73" s="83"/>
    </row>
    <row r="74" spans="2:26" s="3" customFormat="1" ht="18" customHeight="1" thickTop="1" thickBot="1">
      <c r="B74" s="261"/>
      <c r="C74" s="29" t="s">
        <v>59</v>
      </c>
      <c r="D74" s="34">
        <f>+'Producción Laminados 2018'!D64</f>
        <v>4.4400000000000004</v>
      </c>
      <c r="E74" s="171">
        <f>+'Producción Laminados 2018'!E64</f>
        <v>3.33</v>
      </c>
      <c r="F74" s="171">
        <f>+'Producción Laminados 2018'!F64</f>
        <v>4.6620000000000008</v>
      </c>
      <c r="G74" s="171">
        <f>+'Producción Laminados 2018'!G64</f>
        <v>5.5500000000000007</v>
      </c>
      <c r="H74" s="171">
        <f>+'Producción Laminados 2018'!H64</f>
        <v>5.5500000000000007</v>
      </c>
      <c r="I74" s="171">
        <f>+'Producción Laminados 2018'!I64</f>
        <v>5.5500000000000007</v>
      </c>
      <c r="J74" s="171">
        <f>+'Producción Laminados 2018'!J64</f>
        <v>5.7720000000000011</v>
      </c>
      <c r="K74" s="171">
        <f>+'Producción Laminados 2018'!K64</f>
        <v>5.5500000000000007</v>
      </c>
      <c r="L74" s="171">
        <f>+'Producción Laminados 2018'!L64</f>
        <v>4.4400000000000004</v>
      </c>
      <c r="M74" s="171">
        <f>+'Producción Laminados 2018'!M64</f>
        <v>4.4400000000000004</v>
      </c>
      <c r="N74" s="171">
        <f>+'Producción Laminados 2018'!N64</f>
        <v>5.5500000000000007</v>
      </c>
      <c r="O74" s="171"/>
      <c r="P74" s="34">
        <f t="shared" ref="P74:P86" si="61">+SUM(D74:O74)</f>
        <v>54.834000000000003</v>
      </c>
      <c r="R74" s="44"/>
      <c r="S74" s="2"/>
      <c r="U74" s="2"/>
      <c r="Y74" s="79"/>
      <c r="Z74" s="83"/>
    </row>
    <row r="75" spans="2:26" s="3" customFormat="1" ht="18" customHeight="1" thickTop="1" thickBot="1">
      <c r="B75" s="261"/>
      <c r="C75" s="29" t="s">
        <v>60</v>
      </c>
      <c r="D75" s="34">
        <f>+'Producción Laminados 2018'!D65</f>
        <v>0</v>
      </c>
      <c r="E75" s="171">
        <f>+'Producción Laminados 2018'!E65</f>
        <v>0</v>
      </c>
      <c r="F75" s="171">
        <f>+'Producción Laminados 2018'!F65</f>
        <v>0</v>
      </c>
      <c r="G75" s="171">
        <f>+'Producción Laminados 2018'!G65</f>
        <v>0</v>
      </c>
      <c r="H75" s="171">
        <f>+'Producción Laminados 2018'!H65</f>
        <v>0</v>
      </c>
      <c r="I75" s="171">
        <f>+'Producción Laminados 2018'!I65</f>
        <v>0</v>
      </c>
      <c r="J75" s="171">
        <f>+'Producción Laminados 2018'!J65</f>
        <v>0</v>
      </c>
      <c r="K75" s="171">
        <f>+'Producción Laminados 2018'!K65</f>
        <v>0</v>
      </c>
      <c r="L75" s="171">
        <f>+'Producción Laminados 2018'!L65</f>
        <v>0</v>
      </c>
      <c r="M75" s="171">
        <f>+'Producción Laminados 2018'!M65</f>
        <v>0</v>
      </c>
      <c r="N75" s="171">
        <f>+'Producción Laminados 2018'!N65</f>
        <v>0</v>
      </c>
      <c r="O75" s="171"/>
      <c r="P75" s="34">
        <f t="shared" si="61"/>
        <v>0</v>
      </c>
      <c r="R75" s="44"/>
      <c r="S75" s="2"/>
      <c r="U75" s="2"/>
      <c r="Y75" s="79"/>
      <c r="Z75" s="83"/>
    </row>
    <row r="76" spans="2:26" s="3" customFormat="1" ht="18" customHeight="1" thickTop="1" thickBot="1">
      <c r="B76" s="261"/>
      <c r="C76" s="29" t="s">
        <v>139</v>
      </c>
      <c r="D76" s="52">
        <f t="shared" ref="D76:I76" si="62">+D73+D74+D75</f>
        <v>41.07</v>
      </c>
      <c r="E76" s="52">
        <f t="shared" si="62"/>
        <v>42.18</v>
      </c>
      <c r="F76" s="52">
        <f t="shared" si="62"/>
        <v>44.622</v>
      </c>
      <c r="G76" s="52">
        <f t="shared" si="62"/>
        <v>42.734999999999999</v>
      </c>
      <c r="H76" s="52">
        <f t="shared" si="62"/>
        <v>41.070000000000007</v>
      </c>
      <c r="I76" s="52">
        <f t="shared" si="62"/>
        <v>44.400000000000006</v>
      </c>
      <c r="J76" s="52">
        <f t="shared" ref="J76:K76" si="63">+J73+J74+J75</f>
        <v>47.952000000000005</v>
      </c>
      <c r="K76" s="52">
        <f t="shared" si="63"/>
        <v>46.620000000000005</v>
      </c>
      <c r="L76" s="52">
        <f t="shared" ref="L76:M76" si="64">+L73+L74+L75</f>
        <v>43.29</v>
      </c>
      <c r="M76" s="52">
        <f t="shared" si="64"/>
        <v>42.18</v>
      </c>
      <c r="N76" s="52">
        <f t="shared" ref="N76" si="65">+N73+N74+N75</f>
        <v>45.510000000000005</v>
      </c>
      <c r="O76" s="52"/>
      <c r="P76" s="34">
        <f t="shared" si="61"/>
        <v>481.62900000000002</v>
      </c>
      <c r="R76" s="44"/>
      <c r="S76" s="12">
        <f ca="1">(P76-SUM('Consumo Aparente 2017'!$D76:OFFSET('Consumo Aparente 2017'!$D76,0,Índice!$Y$5)))</f>
        <v>47.729000000000042</v>
      </c>
      <c r="T76" s="2"/>
      <c r="U76" s="12"/>
      <c r="Y76" s="79"/>
      <c r="Z76" s="83"/>
    </row>
    <row r="77" spans="2:26" s="3" customFormat="1" ht="18" customHeight="1" thickTop="1" thickBot="1">
      <c r="B77" s="261"/>
      <c r="C77" s="32" t="s">
        <v>179</v>
      </c>
      <c r="D77" s="35">
        <f>+(D76-'Consumo Aparente 2017'!D76)/'Consumo Aparente 2017'!D76</f>
        <v>0.11000000000000001</v>
      </c>
      <c r="E77" s="35">
        <f>+(E76-'Consumo Aparente 2017'!E76)/'Consumo Aparente 2017'!E76</f>
        <v>0.10999999999999999</v>
      </c>
      <c r="F77" s="35">
        <f>+(F76-'Consumo Aparente 2017'!F76)/'Consumo Aparente 2017'!F76</f>
        <v>0.10999999999999992</v>
      </c>
      <c r="G77" s="35">
        <f>+(G76-'Consumo Aparente 2017'!G76)/'Consumo Aparente 2017'!G76</f>
        <v>0.10999999999999999</v>
      </c>
      <c r="H77" s="35">
        <f>+(H76-'Consumo Aparente 2017'!H76)/'Consumo Aparente 2017'!H76</f>
        <v>0.11000000000000019</v>
      </c>
      <c r="I77" s="35">
        <f>+(I76-'Consumo Aparente 2017'!I76)/'Consumo Aparente 2017'!I76</f>
        <v>0.11000000000000014</v>
      </c>
      <c r="J77" s="35">
        <f>+(J76-'Consumo Aparente 2017'!J76)/'Consumo Aparente 2017'!J76</f>
        <v>0.11000000000000006</v>
      </c>
      <c r="K77" s="35">
        <f>+(K76-'Consumo Aparente 2017'!K76)/'Consumo Aparente 2017'!K76</f>
        <v>0.11000000000000011</v>
      </c>
      <c r="L77" s="35">
        <f>+(L76-'Consumo Aparente 2017'!L76)/'Consumo Aparente 2017'!L76</f>
        <v>0.10999999999999997</v>
      </c>
      <c r="M77" s="35">
        <f>+(M76-'Consumo Aparente 2017'!M76)/'Consumo Aparente 2017'!M76</f>
        <v>0.10999999999999999</v>
      </c>
      <c r="N77" s="35">
        <f>+(N76-'Consumo Aparente 2017'!N76)/'Consumo Aparente 2017'!N76</f>
        <v>0.11000000000000013</v>
      </c>
      <c r="O77" s="35">
        <f>+(O76-'Consumo Aparente 2017'!O76)/'Consumo Aparente 2017'!O76</f>
        <v>-1</v>
      </c>
      <c r="P77" s="139">
        <f ca="1">(P76-SUM('Consumo Aparente 2017'!$D76:OFFSET('Consumo Aparente 2017'!$D76,0,Índice!$Y$5)))/SUM('Consumo Aparente 2017'!$D76:OFFSET('Consumo Aparente 2017'!$D76,0,Índice!$Y$5))</f>
        <v>0.1100000000000001</v>
      </c>
      <c r="R77" s="44"/>
      <c r="S77" s="2"/>
      <c r="U77" s="2"/>
      <c r="Y77" s="79"/>
      <c r="Z77" s="83"/>
    </row>
    <row r="78" spans="2:26" s="3" customFormat="1" ht="18" customHeight="1" thickTop="1" thickBot="1">
      <c r="B78" s="260" t="s">
        <v>7</v>
      </c>
      <c r="C78" s="29" t="s">
        <v>65</v>
      </c>
      <c r="D78" s="171">
        <f>+'Producción Laminados 2018'!D68+'Impo 2018'!D73-'Expo 2018'!D73</f>
        <v>6.7237876200000004</v>
      </c>
      <c r="E78" s="171">
        <f>+'Producción Laminados 2018'!E68+'Impo 2018'!E73-'Expo 2018'!E73</f>
        <v>7.9044616100000002</v>
      </c>
      <c r="F78" s="171">
        <f>+'Producción Laminados 2018'!F68+'Impo 2018'!F73-'Expo 2018'!F73</f>
        <v>18.454048390000004</v>
      </c>
      <c r="G78" s="171">
        <f>+'Producción Laminados 2018'!G68+'Impo 2018'!G73-'Expo 2018'!G73</f>
        <v>8.208636460000001</v>
      </c>
      <c r="H78" s="171">
        <f>+'Producción Laminados 2018'!H68+'Impo 2018'!H73-'Expo 2018'!H73</f>
        <v>8.2814322000000011</v>
      </c>
      <c r="I78" s="171">
        <f>+'Producción Laminados 2018'!I68+'Impo 2018'!I73-'Expo 2018'!I73</f>
        <v>8.3013395200000009</v>
      </c>
      <c r="J78" s="171">
        <f>+'Producción Laminados 2018'!J68+'Impo 2018'!J73-'Expo 2018'!J73</f>
        <v>10.171881000000001</v>
      </c>
      <c r="K78" s="171">
        <f>+'Producción Laminados 2018'!K68+'Impo 2018'!K73-'Expo 2018'!K73</f>
        <v>12.714925000000001</v>
      </c>
      <c r="L78" s="171">
        <f>+'Producción Laminados 2018'!L68+'Impo 2018'!L73-'Expo 2018'!L73</f>
        <v>9.3314500000000002</v>
      </c>
      <c r="M78" s="171">
        <f>+'Producción Laminados 2018'!M68+'Impo 2018'!M73-'Expo 2018'!M73</f>
        <v>9.6533680000000004</v>
      </c>
      <c r="N78" s="171">
        <f>+'Producción Laminados 2018'!N68+'Impo 2018'!N73-'Expo 2018'!N73</f>
        <v>8.8635610000000007</v>
      </c>
      <c r="O78" s="171"/>
      <c r="P78" s="34">
        <f>+SUM(D78:O78)</f>
        <v>108.60889080000003</v>
      </c>
      <c r="R78" s="44"/>
      <c r="S78" s="2"/>
      <c r="U78" s="2"/>
      <c r="Y78" s="79"/>
      <c r="Z78" s="83"/>
    </row>
    <row r="79" spans="2:26" s="3" customFormat="1" ht="18" customHeight="1" thickTop="1" thickBot="1">
      <c r="B79" s="260"/>
      <c r="C79" s="29" t="s">
        <v>59</v>
      </c>
      <c r="D79" s="171">
        <f>+'Producción Laminados 2018'!D69+'Impo 2018'!D74-'Expo 2018'!D74</f>
        <v>7.6236578799999997</v>
      </c>
      <c r="E79" s="171">
        <f>+'Producción Laminados 2018'!E69+'Impo 2018'!E74-'Expo 2018'!E74</f>
        <v>6.4785138500000006</v>
      </c>
      <c r="F79" s="171">
        <f>+'Producción Laminados 2018'!F69+'Impo 2018'!F74-'Expo 2018'!F74</f>
        <v>5.3331580999999995</v>
      </c>
      <c r="G79" s="171">
        <f>+'Producción Laminados 2018'!G69+'Impo 2018'!G74-'Expo 2018'!G74</f>
        <v>7.2150622199999965</v>
      </c>
      <c r="H79" s="171">
        <f>+'Producción Laminados 2018'!H69+'Impo 2018'!H74-'Expo 2018'!H74</f>
        <v>8.4372948399999999</v>
      </c>
      <c r="I79" s="171">
        <f>+'Producción Laminados 2018'!I69+'Impo 2018'!I74-'Expo 2018'!I74</f>
        <v>9.208352660000001</v>
      </c>
      <c r="J79" s="171">
        <f>+'Producción Laminados 2018'!J69+'Impo 2018'!J74-'Expo 2018'!J74</f>
        <v>8.3378630000000005</v>
      </c>
      <c r="K79" s="171">
        <f>+'Producción Laminados 2018'!K69+'Impo 2018'!K74-'Expo 2018'!K74</f>
        <v>8.5715719999999997</v>
      </c>
      <c r="L79" s="171">
        <f>+'Producción Laminados 2018'!L69+'Impo 2018'!L74-'Expo 2018'!L74</f>
        <v>7.4837600000000002</v>
      </c>
      <c r="M79" s="171">
        <f>+'Producción Laminados 2018'!M69+'Impo 2018'!M74-'Expo 2018'!M74</f>
        <v>6.2083000000000004</v>
      </c>
      <c r="N79" s="171">
        <f>+'Producción Laminados 2018'!N69+'Impo 2018'!N74-'Expo 2018'!N74</f>
        <v>7.6275499999999994</v>
      </c>
      <c r="O79" s="171"/>
      <c r="P79" s="34">
        <f t="shared" si="61"/>
        <v>82.525084550000003</v>
      </c>
      <c r="R79" s="44"/>
      <c r="S79" s="2"/>
      <c r="U79" s="2"/>
      <c r="Y79" s="79"/>
      <c r="Z79" s="83"/>
    </row>
    <row r="80" spans="2:26" s="3" customFormat="1" ht="18" customHeight="1" thickTop="1" thickBot="1">
      <c r="B80" s="260"/>
      <c r="C80" s="29" t="s">
        <v>60</v>
      </c>
      <c r="D80" s="171">
        <f>+'Producción Laminados 2018'!D70+'Impo 2018'!D75-'Expo 2018'!D75</f>
        <v>0.18264228000000002</v>
      </c>
      <c r="E80" s="171">
        <f>+'Producción Laminados 2018'!E70+'Impo 2018'!E75-'Expo 2018'!E75</f>
        <v>0.13889023999999997</v>
      </c>
      <c r="F80" s="171">
        <f>+'Producción Laminados 2018'!F70+'Impo 2018'!F75-'Expo 2018'!F75</f>
        <v>4.2395910000000002E-2</v>
      </c>
      <c r="G80" s="171">
        <f>+'Producción Laminados 2018'!G70+'Impo 2018'!G75-'Expo 2018'!G75</f>
        <v>0.21601061000000002</v>
      </c>
      <c r="H80" s="171">
        <f>+'Producción Laminados 2018'!H70+'Impo 2018'!H75-'Expo 2018'!H75</f>
        <v>8.6927539999999942E-2</v>
      </c>
      <c r="I80" s="171">
        <f>+'Producción Laminados 2018'!I70+'Impo 2018'!I75-'Expo 2018'!I75</f>
        <v>4.0759950000000003E-2</v>
      </c>
      <c r="J80" s="171">
        <f>+'Producción Laminados 2018'!J70+'Impo 2018'!J75-'Expo 2018'!J75</f>
        <v>0.20966899999999999</v>
      </c>
      <c r="K80" s="171">
        <f>+'Producción Laminados 2018'!K70+'Impo 2018'!K75-'Expo 2018'!K75</f>
        <v>0.125637</v>
      </c>
      <c r="L80" s="171">
        <f>+'Producción Laminados 2018'!L70+'Impo 2018'!L75-'Expo 2018'!L75</f>
        <v>0.10745399999999999</v>
      </c>
      <c r="M80" s="171">
        <f>+'Producción Laminados 2018'!M70+'Impo 2018'!M75-'Expo 2018'!M75</f>
        <v>0.123645</v>
      </c>
      <c r="N80" s="171">
        <f>+'Producción Laminados 2018'!N70+'Impo 2018'!N75-'Expo 2018'!N75</f>
        <v>0.16522300000000001</v>
      </c>
      <c r="O80" s="52"/>
      <c r="P80" s="34">
        <f t="shared" si="61"/>
        <v>1.4392545299999999</v>
      </c>
      <c r="R80" s="44"/>
      <c r="S80" s="2"/>
      <c r="U80" s="2"/>
      <c r="W80" s="78"/>
      <c r="X80" s="78"/>
      <c r="Y80" s="79"/>
      <c r="Z80" s="83"/>
    </row>
    <row r="81" spans="2:26" s="3" customFormat="1" ht="18" customHeight="1" thickTop="1" thickBot="1">
      <c r="B81" s="260"/>
      <c r="C81" s="29" t="s">
        <v>139</v>
      </c>
      <c r="D81" s="52">
        <f t="shared" ref="D81:I81" si="66">+D78+D79+D80</f>
        <v>14.530087779999999</v>
      </c>
      <c r="E81" s="52">
        <f t="shared" si="66"/>
        <v>14.521865700000001</v>
      </c>
      <c r="F81" s="52">
        <f t="shared" si="66"/>
        <v>23.829602400000002</v>
      </c>
      <c r="G81" s="52">
        <f t="shared" si="66"/>
        <v>15.639709289999997</v>
      </c>
      <c r="H81" s="52">
        <f t="shared" si="66"/>
        <v>16.805654580000002</v>
      </c>
      <c r="I81" s="52">
        <f t="shared" si="66"/>
        <v>17.550452130000004</v>
      </c>
      <c r="J81" s="52">
        <f t="shared" ref="J81:K81" si="67">+J78+J79+J80</f>
        <v>18.719413000000003</v>
      </c>
      <c r="K81" s="52">
        <f t="shared" si="67"/>
        <v>21.412134000000002</v>
      </c>
      <c r="L81" s="52">
        <f t="shared" ref="L81:M81" si="68">+L78+L79+L80</f>
        <v>16.922664000000001</v>
      </c>
      <c r="M81" s="52">
        <f t="shared" si="68"/>
        <v>15.985313000000001</v>
      </c>
      <c r="N81" s="52">
        <f t="shared" ref="N81" si="69">+N78+N79+N80</f>
        <v>16.656334000000001</v>
      </c>
      <c r="O81" s="52"/>
      <c r="P81" s="34">
        <f t="shared" si="61"/>
        <v>192.57322987999999</v>
      </c>
      <c r="R81" s="44"/>
      <c r="S81" s="12">
        <f ca="1">(P81-SUM('Consumo Aparente 2017'!$D81:OFFSET('Consumo Aparente 2017'!$D81,0,Índice!$Y$5)))</f>
        <v>33.718544879999996</v>
      </c>
      <c r="T81" s="2"/>
      <c r="U81" s="12"/>
      <c r="Y81" s="79"/>
      <c r="Z81" s="83"/>
    </row>
    <row r="82" spans="2:26" s="3" customFormat="1" ht="18" customHeight="1" thickTop="1" thickBot="1">
      <c r="B82" s="260"/>
      <c r="C82" s="32" t="s">
        <v>179</v>
      </c>
      <c r="D82" s="35">
        <f>+(D81-'Consumo Aparente 2017'!D81)/'Consumo Aparente 2017'!D81</f>
        <v>1.9664084118059342E-2</v>
      </c>
      <c r="E82" s="35">
        <f>+(E81-'Consumo Aparente 2017'!E81)/'Consumo Aparente 2017'!E81</f>
        <v>0.22240128736325721</v>
      </c>
      <c r="F82" s="35">
        <f>+(F81-'Consumo Aparente 2017'!F81)/'Consumo Aparente 2017'!F81</f>
        <v>0.24203012507551067</v>
      </c>
      <c r="G82" s="35">
        <f>+(G81-'Consumo Aparente 2017'!G81)/'Consumo Aparente 2017'!G81</f>
        <v>0.13244504425886011</v>
      </c>
      <c r="H82" s="35">
        <f>+(H81-'Consumo Aparente 2017'!H81)/'Consumo Aparente 2017'!H81</f>
        <v>7.1866987540294816E-2</v>
      </c>
      <c r="I82" s="35">
        <f>+(I81-'Consumo Aparente 2017'!I81)/'Consumo Aparente 2017'!I81</f>
        <v>-0.26914111218115883</v>
      </c>
      <c r="J82" s="35">
        <f>+(J81-'Consumo Aparente 2017'!J81)/'Consumo Aparente 2017'!J81</f>
        <v>0.44211613451143777</v>
      </c>
      <c r="K82" s="35">
        <f>+(K81-'Consumo Aparente 2017'!K81)/'Consumo Aparente 2017'!K81</f>
        <v>0.37215682323972593</v>
      </c>
      <c r="L82" s="35">
        <f>+(L81-'Consumo Aparente 2017'!L81)/'Consumo Aparente 2017'!L81</f>
        <v>1.0224990304408701</v>
      </c>
      <c r="M82" s="35">
        <f>+(M81-'Consumo Aparente 2017'!M81)/'Consumo Aparente 2017'!M81</f>
        <v>0.41931698316919258</v>
      </c>
      <c r="N82" s="35">
        <f>+(N81-'Consumo Aparente 2017'!N81)/'Consumo Aparente 2017'!N81</f>
        <v>0.40904729637703785</v>
      </c>
      <c r="O82" s="35">
        <f>+(O81-'Consumo Aparente 2017'!O81)/'Consumo Aparente 2017'!O81</f>
        <v>-1</v>
      </c>
      <c r="P82" s="139">
        <f ca="1">(P81-SUM('Consumo Aparente 2017'!$D81:OFFSET('Consumo Aparente 2017'!$D81,0,Índice!$Y$5)))/SUM('Consumo Aparente 2017'!$D81:OFFSET('Consumo Aparente 2017'!$D81,0,Índice!$Y$5))</f>
        <v>0.21226031123979755</v>
      </c>
      <c r="R82" s="44"/>
      <c r="S82" s="2"/>
      <c r="U82" s="2"/>
      <c r="Y82" s="79"/>
      <c r="Z82" s="83"/>
    </row>
    <row r="83" spans="2:26" ht="18" customHeight="1" thickTop="1" thickBot="1">
      <c r="B83" s="260" t="s">
        <v>3</v>
      </c>
      <c r="C83" s="29" t="s">
        <v>65</v>
      </c>
      <c r="D83" s="170">
        <f>+'Producción Laminados 2018'!D73+'Impo 2018'!D78-'Expo 2018'!D78</f>
        <v>10.329273000000001</v>
      </c>
      <c r="E83" s="170">
        <f>+'Producción Laminados 2018'!E73+'Impo 2018'!E78-'Expo 2018'!E78</f>
        <v>15.058042</v>
      </c>
      <c r="F83" s="170">
        <f>+'Producción Laminados 2018'!F73+'Impo 2018'!F78-'Expo 2018'!F78</f>
        <v>22.288944000000001</v>
      </c>
      <c r="G83" s="170">
        <f>+'Producción Laminados 2018'!G73+'Impo 2018'!G78-'Expo 2018'!G78</f>
        <v>18.003925000000002</v>
      </c>
      <c r="H83" s="170">
        <f>+'Producción Laminados 2018'!H73+'Impo 2018'!H78-'Expo 2018'!H78</f>
        <v>12.028962</v>
      </c>
      <c r="I83" s="170">
        <f>+'Producción Laminados 2018'!I73+'Impo 2018'!I78-'Expo 2018'!I78</f>
        <v>10.193426000000001</v>
      </c>
      <c r="J83" s="170">
        <f>+'Producción Laminados 2018'!J73+'Impo 2018'!J78-'Expo 2018'!J78</f>
        <v>6.0297369999999999</v>
      </c>
      <c r="K83" s="170">
        <f>+'Producción Laminados 2018'!K73+'Impo 2018'!K78-'Expo 2018'!K78</f>
        <v>10.152031000000001</v>
      </c>
      <c r="L83" s="170">
        <f>+'Producción Laminados 2018'!L73+'Impo 2018'!L78-'Expo 2018'!L78</f>
        <v>10.467779999999999</v>
      </c>
      <c r="M83" s="170">
        <f>+'Producción Laminados 2018'!M73+'Impo 2018'!M78-'Expo 2018'!M78</f>
        <v>6.0550170000000003</v>
      </c>
      <c r="N83" s="170">
        <f>+'Producción Laminados 2018'!N73+'Impo 2018'!N78-'Expo 2018'!N78</f>
        <v>6.3</v>
      </c>
      <c r="O83" s="170"/>
      <c r="P83" s="34">
        <f>+SUM(D83:O83)</f>
        <v>126.90713700000001</v>
      </c>
      <c r="R83" s="14"/>
      <c r="Y83" s="78"/>
    </row>
    <row r="84" spans="2:26" ht="18" customHeight="1" thickTop="1" thickBot="1">
      <c r="B84" s="260"/>
      <c r="C84" s="29" t="s">
        <v>59</v>
      </c>
      <c r="D84" s="170">
        <f>+'Producción Laminados 2018'!D74+'Impo 2018'!D79-'Expo 2018'!D79</f>
        <v>2.4581019999999998</v>
      </c>
      <c r="E84" s="170">
        <f>+'Producción Laminados 2018'!E74+'Impo 2018'!E79-'Expo 2018'!E79</f>
        <v>0.937531</v>
      </c>
      <c r="F84" s="170">
        <f>+'Producción Laminados 2018'!F74+'Impo 2018'!F79-'Expo 2018'!F79</f>
        <v>0.46795799999999999</v>
      </c>
      <c r="G84" s="170">
        <f>+'Producción Laminados 2018'!G74+'Impo 2018'!G79-'Expo 2018'!G79</f>
        <v>1.3020260000000001</v>
      </c>
      <c r="H84" s="170">
        <f>+'Producción Laminados 2018'!H74+'Impo 2018'!H79-'Expo 2018'!H79</f>
        <v>0.103295</v>
      </c>
      <c r="I84" s="170">
        <f>+'Producción Laminados 2018'!I74+'Impo 2018'!I79-'Expo 2018'!I79</f>
        <v>1.6267359999999997</v>
      </c>
      <c r="J84" s="170">
        <f>+'Producción Laminados 2018'!J74+'Impo 2018'!J79-'Expo 2018'!J79</f>
        <v>2.1631139999999998</v>
      </c>
      <c r="K84" s="170">
        <f>+'Producción Laminados 2018'!K74+'Impo 2018'!K79-'Expo 2018'!K79</f>
        <v>2.3174E-2</v>
      </c>
      <c r="L84" s="170">
        <f>+'Producción Laminados 2018'!L74+'Impo 2018'!L79-'Expo 2018'!L79</f>
        <v>0.48661700000000002</v>
      </c>
      <c r="M84" s="170">
        <f>+'Producción Laminados 2018'!M74+'Impo 2018'!M79-'Expo 2018'!M79</f>
        <v>0.114907</v>
      </c>
      <c r="N84" s="170">
        <f>+'Producción Laminados 2018'!N74+'Impo 2018'!N79-'Expo 2018'!N79</f>
        <v>0.1</v>
      </c>
      <c r="O84" s="170"/>
      <c r="P84" s="34">
        <f t="shared" si="61"/>
        <v>9.7834599999999998</v>
      </c>
      <c r="R84" s="14"/>
      <c r="W84" s="78"/>
      <c r="X84" s="78"/>
      <c r="Y84" s="78"/>
    </row>
    <row r="85" spans="2:26" ht="18" customHeight="1" thickTop="1" thickBot="1">
      <c r="B85" s="260"/>
      <c r="C85" s="29" t="s">
        <v>60</v>
      </c>
      <c r="D85" s="170">
        <f>+'Producción Laminados 2018'!D75+'Impo 2018'!D80-'Expo 2018'!D80</f>
        <v>1.440042</v>
      </c>
      <c r="E85" s="170">
        <f>+'Producción Laminados 2018'!E75+'Impo 2018'!E80-'Expo 2018'!E80</f>
        <v>7.3329420000000001</v>
      </c>
      <c r="F85" s="170">
        <f>+'Producción Laminados 2018'!F75+'Impo 2018'!F80-'Expo 2018'!F80</f>
        <v>1.9545459999999999</v>
      </c>
      <c r="G85" s="170">
        <f>+'Producción Laminados 2018'!G75+'Impo 2018'!G80-'Expo 2018'!G80</f>
        <v>1.967401</v>
      </c>
      <c r="H85" s="170">
        <f>+'Producción Laminados 2018'!H75+'Impo 2018'!H80-'Expo 2018'!H80</f>
        <v>3.0351680000000001</v>
      </c>
      <c r="I85" s="170">
        <f>+'Producción Laminados 2018'!I75+'Impo 2018'!I80-'Expo 2018'!I80</f>
        <v>0.198744</v>
      </c>
      <c r="J85" s="170">
        <f>+'Producción Laminados 2018'!J75+'Impo 2018'!J80-'Expo 2018'!J80</f>
        <v>2.0215239999999999</v>
      </c>
      <c r="K85" s="170">
        <f>+'Producción Laminados 2018'!K75+'Impo 2018'!K80-'Expo 2018'!K80</f>
        <v>1.6563319999999999</v>
      </c>
      <c r="L85" s="170">
        <f>+'Producción Laminados 2018'!L75+'Impo 2018'!L80-'Expo 2018'!L80</f>
        <v>2.0585559999999998</v>
      </c>
      <c r="M85" s="170">
        <f>+'Producción Laminados 2018'!M75+'Impo 2018'!M80-'Expo 2018'!M80</f>
        <v>2.1930149999999999</v>
      </c>
      <c r="N85" s="170">
        <f>+'Producción Laminados 2018'!N75+'Impo 2018'!N80-'Expo 2018'!N80</f>
        <v>2</v>
      </c>
      <c r="O85" s="170"/>
      <c r="P85" s="34">
        <f t="shared" si="61"/>
        <v>25.858270000000001</v>
      </c>
      <c r="R85" s="14"/>
      <c r="W85" s="78"/>
      <c r="X85" s="78"/>
      <c r="Y85" s="78"/>
    </row>
    <row r="86" spans="2:26" ht="18" customHeight="1" thickTop="1" thickBot="1">
      <c r="B86" s="260"/>
      <c r="C86" s="29" t="s">
        <v>139</v>
      </c>
      <c r="D86" s="53">
        <f t="shared" ref="D86:I86" si="70">+D83+D84+D85</f>
        <v>14.227417000000001</v>
      </c>
      <c r="E86" s="53">
        <f t="shared" si="70"/>
        <v>23.328514999999999</v>
      </c>
      <c r="F86" s="53">
        <f t="shared" si="70"/>
        <v>24.711448000000001</v>
      </c>
      <c r="G86" s="53">
        <f t="shared" si="70"/>
        <v>21.273352000000003</v>
      </c>
      <c r="H86" s="53">
        <f t="shared" si="70"/>
        <v>15.167425</v>
      </c>
      <c r="I86" s="53">
        <f t="shared" si="70"/>
        <v>12.018905999999999</v>
      </c>
      <c r="J86" s="53">
        <f t="shared" ref="J86:K86" si="71">+J83+J84+J85</f>
        <v>10.214374999999999</v>
      </c>
      <c r="K86" s="53">
        <f t="shared" si="71"/>
        <v>11.831537000000001</v>
      </c>
      <c r="L86" s="53">
        <f t="shared" ref="L86:M86" si="72">+L83+L84+L85</f>
        <v>13.012953</v>
      </c>
      <c r="M86" s="53">
        <f t="shared" si="72"/>
        <v>8.3629390000000008</v>
      </c>
      <c r="N86" s="53">
        <f t="shared" ref="N86" si="73">+N83+N84+N85</f>
        <v>8.3999999999999986</v>
      </c>
      <c r="O86" s="53"/>
      <c r="P86" s="34">
        <f t="shared" si="61"/>
        <v>162.54886700000003</v>
      </c>
      <c r="R86" s="14"/>
      <c r="S86" s="12">
        <f ca="1">(P86-SUM('Consumo Aparente 2017'!$D86:OFFSET('Consumo Aparente 2017'!$D86,0,Índice!$Y$5)))</f>
        <v>-314.79281500000002</v>
      </c>
      <c r="U86" s="12"/>
      <c r="Y86" s="78"/>
    </row>
    <row r="87" spans="2:26" ht="18" customHeight="1" thickTop="1" thickBot="1">
      <c r="B87" s="260"/>
      <c r="C87" s="32" t="s">
        <v>179</v>
      </c>
      <c r="D87" s="172">
        <f>+(D86-'Consumo Aparente 2017'!D86)/'Consumo Aparente 2017'!D86</f>
        <v>-0.75065812006569865</v>
      </c>
      <c r="E87" s="172">
        <f>+(E86-'Consumo Aparente 2017'!E86)/'Consumo Aparente 2017'!E86</f>
        <v>-0.565947272279407</v>
      </c>
      <c r="F87" s="172">
        <f>+(F86-'Consumo Aparente 2017'!F86)/'Consumo Aparente 2017'!F86</f>
        <v>-0.58637047551217347</v>
      </c>
      <c r="G87" s="172">
        <f>+(G86-'Consumo Aparente 2017'!G86)/'Consumo Aparente 2017'!G86</f>
        <v>-0.54452578099218685</v>
      </c>
      <c r="H87" s="172">
        <f>+(H86-'Consumo Aparente 2017'!H86)/'Consumo Aparente 2017'!H86</f>
        <v>-0.72305098368559084</v>
      </c>
      <c r="I87" s="172">
        <f>+(I86-'Consumo Aparente 2017'!I86)/'Consumo Aparente 2017'!I86</f>
        <v>-0.78844029729343335</v>
      </c>
      <c r="J87" s="172">
        <f>+(J86-'Consumo Aparente 2017'!J86)/'Consumo Aparente 2017'!J86</f>
        <v>-0.15861189733794551</v>
      </c>
      <c r="K87" s="172">
        <f>+(K86-'Consumo Aparente 2017'!K86)/'Consumo Aparente 2017'!K86</f>
        <v>-0.56544244112785469</v>
      </c>
      <c r="L87" s="172">
        <f>+(L86-'Consumo Aparente 2017'!L86)/'Consumo Aparente 2017'!L86</f>
        <v>-0.71444164010234323</v>
      </c>
      <c r="M87" s="172">
        <f>+(M86-'Consumo Aparente 2017'!M86)/'Consumo Aparente 2017'!M86</f>
        <v>-0.47942720265742428</v>
      </c>
      <c r="N87" s="172">
        <f>+(N86-'Consumo Aparente 2017'!N86)/'Consumo Aparente 2017'!N86</f>
        <v>-0.82318921816271928</v>
      </c>
      <c r="O87" s="35">
        <f>+(O86-'Consumo Aparente 2017'!O86)/'Consumo Aparente 2017'!O86</f>
        <v>-1</v>
      </c>
      <c r="P87" s="139">
        <f ca="1">(P86-SUM('Consumo Aparente 2017'!$D86:OFFSET('Consumo Aparente 2017'!$D86,0,Índice!$Y$5)))/SUM('Consumo Aparente 2017'!$D86:OFFSET('Consumo Aparente 2017'!$D86,0,Índice!$Y$5))</f>
        <v>-0.65947062004109669</v>
      </c>
      <c r="R87" s="14"/>
      <c r="Y87" s="78"/>
    </row>
    <row r="88" spans="2:26" s="3" customFormat="1" ht="18" customHeight="1" thickTop="1" thickBot="1">
      <c r="B88" s="261" t="s">
        <v>61</v>
      </c>
      <c r="C88" s="29" t="s">
        <v>65</v>
      </c>
      <c r="D88" s="34">
        <f t="shared" ref="D88:E91" si="74">+D3+D13+D18+D23+D28+D63+D33+D38+D43+D53+D58+D68+D73+D78+D83+D8+D48</f>
        <v>2266.6165133118184</v>
      </c>
      <c r="E88" s="171">
        <f t="shared" si="74"/>
        <v>2248.1051565367998</v>
      </c>
      <c r="F88" s="171">
        <f t="shared" ref="F88:G88" si="75">+F3+F13+F18+F23+F28+F63+F33+F38+F43+F53+F58+F68+F73+F78+F83+F8+F48</f>
        <v>2393.4072231149003</v>
      </c>
      <c r="G88" s="171">
        <f t="shared" si="75"/>
        <v>2351.1074547355497</v>
      </c>
      <c r="H88" s="171">
        <f t="shared" ref="H88:I88" si="76">+H3+H13+H18+H23+H28+H63+H33+H38+H43+H53+H58+H68+H73+H78+H83+H8+H48</f>
        <v>2427.3665779663997</v>
      </c>
      <c r="I88" s="171">
        <f t="shared" si="76"/>
        <v>2404.7744122166005</v>
      </c>
      <c r="J88" s="171">
        <f t="shared" ref="J88:K88" si="77">+J3+J13+J18+J23+J28+J63+J33+J38+J43+J53+J58+J68+J73+J78+J83+J8+J48</f>
        <v>2480.0332212019989</v>
      </c>
      <c r="K88" s="171">
        <f t="shared" si="77"/>
        <v>2432.7374863794107</v>
      </c>
      <c r="L88" s="171">
        <f t="shared" ref="L88:M88" si="78">+L3+L13+L18+L23+L28+L63+L33+L38+L43+L53+L58+L68+L73+L78+L83+L8+L48</f>
        <v>2354.4616353951983</v>
      </c>
      <c r="M88" s="171">
        <f t="shared" si="78"/>
        <v>2428.3045214886997</v>
      </c>
      <c r="N88" s="171">
        <f t="shared" ref="N88" si="79">+N3+N13+N18+N23+N28+N63+N33+N38+N43+N53+N58+N68+N73+N78+N83+N8+N48</f>
        <v>2241.118443540001</v>
      </c>
      <c r="O88" s="171"/>
      <c r="P88" s="34">
        <f>+SUM(D88:O88)</f>
        <v>26028.032645887375</v>
      </c>
      <c r="Q88" s="5"/>
      <c r="R88" s="44"/>
      <c r="S88" s="12">
        <f ca="1">(P88-SUM('Consumo Aparente 2017'!$D88:OFFSET('Consumo Aparente 2017'!$D88,0,Índice!$Y$5)))</f>
        <v>705.52020162534973</v>
      </c>
      <c r="T88" s="49"/>
      <c r="U88" s="241">
        <f>P88/P91</f>
        <v>0.42293617964492769</v>
      </c>
      <c r="W88" s="78"/>
      <c r="X88" s="78"/>
      <c r="Y88" s="79"/>
      <c r="Z88" s="83"/>
    </row>
    <row r="89" spans="2:26" s="3" customFormat="1" ht="18" customHeight="1" thickTop="1" thickBot="1">
      <c r="B89" s="261"/>
      <c r="C89" s="29" t="s">
        <v>59</v>
      </c>
      <c r="D89" s="34">
        <f t="shared" si="74"/>
        <v>3213.4315107948996</v>
      </c>
      <c r="E89" s="171">
        <f t="shared" si="74"/>
        <v>2845.5256542318994</v>
      </c>
      <c r="F89" s="171">
        <f t="shared" ref="F89:G89" si="80">+F4+F14+F19+F24+F29+F64+F34+F39+F44+F54+F59+F69+F74+F79+F84+F9+F49</f>
        <v>3256.5515680312001</v>
      </c>
      <c r="G89" s="171">
        <f t="shared" si="80"/>
        <v>3375.93488104875</v>
      </c>
      <c r="H89" s="171">
        <f t="shared" ref="H89:I89" si="81">+H4+H14+H19+H24+H29+H64+H34+H39+H44+H54+H59+H69+H74+H79+H84+H9+H49</f>
        <v>3420.8834135005</v>
      </c>
      <c r="I89" s="171">
        <f t="shared" si="81"/>
        <v>3104.2578321619999</v>
      </c>
      <c r="J89" s="171">
        <f t="shared" ref="J89:K89" si="82">+J4+J14+J19+J24+J29+J64+J34+J39+J44+J54+J59+J69+J74+J79+J84+J9+J49</f>
        <v>3066.9685029908001</v>
      </c>
      <c r="K89" s="171">
        <f t="shared" si="82"/>
        <v>3043.1372256478198</v>
      </c>
      <c r="L89" s="171">
        <f t="shared" ref="L89:M89" si="83">+L4+L14+L19+L24+L29+L64+L34+L39+L44+L54+L59+L69+L74+L79+L84+L9+L49</f>
        <v>3232.1273613268004</v>
      </c>
      <c r="M89" s="171">
        <f t="shared" si="83"/>
        <v>3212.4558999979004</v>
      </c>
      <c r="N89" s="171">
        <f t="shared" ref="N89" si="84">+N4+N14+N19+N24+N29+N64+N34+N39+N44+N54+N59+N69+N74+N79+N84+N9+N49</f>
        <v>3105.5624715100003</v>
      </c>
      <c r="O89" s="171"/>
      <c r="P89" s="34">
        <f>+SUM(D89:O89)</f>
        <v>34876.836321242576</v>
      </c>
      <c r="Q89" s="5"/>
      <c r="R89" s="44"/>
      <c r="S89" s="2"/>
      <c r="T89" s="49"/>
      <c r="U89" s="241">
        <f>P89/P91</f>
        <v>0.56672266062100962</v>
      </c>
      <c r="W89" s="78"/>
      <c r="X89" s="78"/>
      <c r="Y89" s="79"/>
      <c r="Z89" s="83"/>
    </row>
    <row r="90" spans="2:26" s="3" customFormat="1" ht="18" customHeight="1" thickTop="1" thickBot="1">
      <c r="B90" s="261"/>
      <c r="C90" s="29" t="s">
        <v>60</v>
      </c>
      <c r="D90" s="34">
        <f t="shared" si="74"/>
        <v>80.947898894600002</v>
      </c>
      <c r="E90" s="171">
        <f t="shared" si="74"/>
        <v>33.722969984499962</v>
      </c>
      <c r="F90" s="171">
        <f t="shared" ref="F90:G90" si="85">+F5+F15+F20+F25+F30+F65+F35+F40+F45+F55+F60+F70+F75+F80+F85+F10+F50</f>
        <v>99.510012176200007</v>
      </c>
      <c r="G90" s="171">
        <f t="shared" si="85"/>
        <v>99.384560713099987</v>
      </c>
      <c r="H90" s="171">
        <f t="shared" ref="H90:I90" si="86">+H5+H15+H20+H25+H30+H65+H35+H40+H45+H55+H60+H70+H75+H80+H85+H10+H50</f>
        <v>66.189956493400004</v>
      </c>
      <c r="I90" s="171">
        <f t="shared" si="86"/>
        <v>75.361295556499996</v>
      </c>
      <c r="J90" s="171">
        <f t="shared" ref="J90:K90" si="87">+J5+J15+J20+J25+J30+J65+J35+J40+J45+J55+J60+J70+J75+J80+J85+J10+J50</f>
        <v>87.954253311999977</v>
      </c>
      <c r="K90" s="171">
        <f t="shared" si="87"/>
        <v>82.037485012119987</v>
      </c>
      <c r="L90" s="171">
        <f t="shared" ref="L90:M90" si="88">+L5+L15+L20+L25+L30+L65+L35+L40+L45+L55+L60+L70+L75+L80+L85+L10+L50</f>
        <v>69.941900881300029</v>
      </c>
      <c r="M90" s="171">
        <f t="shared" si="88"/>
        <v>114.5497149139</v>
      </c>
      <c r="N90" s="171">
        <f t="shared" ref="N90" si="89">+N5+N15+N20+N25+N30+N65+N35+N40+N45+N55+N60+N70+N75+N80+N85+N10+N50</f>
        <v>83.821129249999998</v>
      </c>
      <c r="O90" s="171"/>
      <c r="P90" s="34">
        <f>+SUM(D90:O90)</f>
        <v>893.42117718762006</v>
      </c>
      <c r="Q90" s="5"/>
      <c r="R90" s="44"/>
      <c r="S90" s="2"/>
      <c r="T90" s="49"/>
      <c r="U90" s="241">
        <f>P90/P91</f>
        <v>1.4517429904688198E-2</v>
      </c>
      <c r="W90" s="78"/>
      <c r="X90" s="78"/>
      <c r="Y90" s="79"/>
      <c r="Z90" s="83"/>
    </row>
    <row r="91" spans="2:26" s="3" customFormat="1" ht="18" customHeight="1" thickTop="1" thickBot="1">
      <c r="B91" s="261"/>
      <c r="C91" s="29" t="s">
        <v>139</v>
      </c>
      <c r="D91" s="34">
        <f t="shared" si="74"/>
        <v>5593.7779230013184</v>
      </c>
      <c r="E91" s="171">
        <f t="shared" si="74"/>
        <v>5133.7387807531986</v>
      </c>
      <c r="F91" s="171">
        <f t="shared" ref="F91:G91" si="90">+F6+F16+F21+F26+F31+F66+F36+F41+F46+F56+F61+F71+F76+F81+F86+F11+F51</f>
        <v>5726.3118033223</v>
      </c>
      <c r="G91" s="171">
        <f t="shared" si="90"/>
        <v>5710.7518964973997</v>
      </c>
      <c r="H91" s="171">
        <f t="shared" ref="H91:I91" si="91">+H6+H16+H21+H26+H31+H66+H36+H41+H46+H56+H61+H71+H76+H81+H86+H11+H51</f>
        <v>5438.5629479602994</v>
      </c>
      <c r="I91" s="171">
        <f t="shared" si="91"/>
        <v>5893.409539935099</v>
      </c>
      <c r="J91" s="171">
        <f t="shared" ref="J91:K91" si="92">+J6+J16+J21+J26+J31+J66+J36+J41+J46+J56+J61+J71+J76+J81+J86+J11+J51</f>
        <v>5645.5609775047978</v>
      </c>
      <c r="K91" s="171">
        <f t="shared" si="92"/>
        <v>5889.8631970393499</v>
      </c>
      <c r="L91" s="171">
        <f t="shared" ref="L91:M91" si="93">+L6+L16+L21+L26+L31+L66+L36+L41+L46+L56+L61+L71+L76+L81+L86+L11+L51</f>
        <v>5465.7148976032977</v>
      </c>
      <c r="M91" s="171">
        <f t="shared" si="93"/>
        <v>5688.2141364004992</v>
      </c>
      <c r="N91" s="171">
        <f t="shared" ref="N91" si="94">+N6+N16+N21+N26+N31+N66+N36+N41+N46+N56+N61+N71+N76+N81+N86+N11+N51</f>
        <v>5355.3710443000009</v>
      </c>
      <c r="O91" s="171"/>
      <c r="P91" s="34">
        <f t="shared" ref="P91" si="95">+P6+P16+P21+P26+P31+P66+P36+P41+P46+P56+P61+P71+P76+P81+P86+P11+P51</f>
        <v>61541.277144317559</v>
      </c>
      <c r="Q91" s="5"/>
      <c r="R91" s="44"/>
      <c r="S91" s="12">
        <f ca="1">(P91-SUM('Consumo Aparente 2017'!$D91:OFFSET('Consumo Aparente 2017'!$D91,0,Índice!$Y$5)))</f>
        <v>-176.87589929933165</v>
      </c>
      <c r="T91" s="44"/>
      <c r="U91" s="241"/>
      <c r="Y91" s="79"/>
      <c r="Z91" s="83"/>
    </row>
    <row r="92" spans="2:26" ht="18" customHeight="1" thickTop="1" thickBot="1">
      <c r="B92" s="261"/>
      <c r="C92" s="32" t="s">
        <v>179</v>
      </c>
      <c r="D92" s="35">
        <f>+(D91-'Consumo Aparente 2017'!D91)/'Consumo Aparente 2017'!D91</f>
        <v>2.9642422734169831E-2</v>
      </c>
      <c r="E92" s="35">
        <f>+(E91-'Consumo Aparente 2017'!E91)/'Consumo Aparente 2017'!E91</f>
        <v>3.2084834446213836E-2</v>
      </c>
      <c r="F92" s="35">
        <f>+(F91-'Consumo Aparente 2017'!F91)/'Consumo Aparente 2017'!F91</f>
        <v>-4.2792926558326214E-2</v>
      </c>
      <c r="G92" s="35">
        <f>+(G91-'Consumo Aparente 2017'!G91)/'Consumo Aparente 2017'!G91</f>
        <v>5.7674243512161695E-2</v>
      </c>
      <c r="H92" s="35">
        <f>+(H91-'Consumo Aparente 2017'!H91)/'Consumo Aparente 2017'!H91</f>
        <v>-7.2791022155480292E-2</v>
      </c>
      <c r="I92" s="35">
        <f>+(I91-'Consumo Aparente 2017'!I91)/'Consumo Aparente 2017'!I91</f>
        <v>-5.5530503198564065E-3</v>
      </c>
      <c r="J92" s="35">
        <f>+(J91-'Consumo Aparente 2017'!J91)/'Consumo Aparente 2017'!J91</f>
        <v>6.5642324649762933E-4</v>
      </c>
      <c r="K92" s="35">
        <f>+(K91-'Consumo Aparente 2017'!K91)/'Consumo Aparente 2017'!K91</f>
        <v>-1.8622671388391525E-3</v>
      </c>
      <c r="L92" s="35">
        <f>+(L91-'Consumo Aparente 2017'!L91)/'Consumo Aparente 2017'!L91</f>
        <v>-4.245425082939689E-2</v>
      </c>
      <c r="M92" s="35">
        <f>+(M91-'Consumo Aparente 2017'!M91)/'Consumo Aparente 2017'!M91</f>
        <v>2.2468359813384985E-2</v>
      </c>
      <c r="N92" s="35">
        <f>+(N91-'Consumo Aparente 2017'!N91)/'Consumo Aparente 2017'!N91</f>
        <v>5.9306520146231063E-3</v>
      </c>
      <c r="O92" s="35">
        <f>+(O91-'Consumo Aparente 2017'!O91)/'Consumo Aparente 2017'!O91</f>
        <v>-1</v>
      </c>
      <c r="P92" s="35">
        <f ca="1">(P91-SUM('Consumo Aparente 2017'!$D91:OFFSET('Consumo Aparente 2017'!$D91,0,Índice!$Y$5)))/SUM('Consumo Aparente 2017'!$D91:OFFSET('Consumo Aparente 2017'!$D91,0,Índice!$Y$5))</f>
        <v>-2.8658650749696208E-3</v>
      </c>
      <c r="Q92" s="6"/>
      <c r="R92" s="14"/>
      <c r="W92" s="78"/>
      <c r="X92" s="78"/>
      <c r="Y92" s="78"/>
    </row>
    <row r="93" spans="2:26" ht="13.5" thickTop="1">
      <c r="B93" s="28"/>
      <c r="W93" s="78"/>
      <c r="X93" s="78"/>
    </row>
    <row r="94" spans="2:26">
      <c r="B94" s="25" t="s">
        <v>19</v>
      </c>
      <c r="W94" s="78"/>
      <c r="X94" s="78"/>
    </row>
    <row r="95" spans="2:26">
      <c r="B95" s="26" t="s">
        <v>12</v>
      </c>
      <c r="W95" s="78"/>
      <c r="X95" s="78"/>
    </row>
    <row r="96" spans="2:26">
      <c r="B96" s="2" t="s">
        <v>18</v>
      </c>
    </row>
    <row r="97" spans="2:16">
      <c r="B97" s="36" t="s">
        <v>92</v>
      </c>
    </row>
    <row r="101" spans="2:16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6"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</sheetData>
  <mergeCells count="18">
    <mergeCell ref="B88:B92"/>
    <mergeCell ref="B33:B37"/>
    <mergeCell ref="B38:B42"/>
    <mergeCell ref="B43:B47"/>
    <mergeCell ref="B48:B52"/>
    <mergeCell ref="B53:B57"/>
    <mergeCell ref="B58:B62"/>
    <mergeCell ref="B63:B67"/>
    <mergeCell ref="B68:B72"/>
    <mergeCell ref="B73:B77"/>
    <mergeCell ref="B78:B82"/>
    <mergeCell ref="B83:B87"/>
    <mergeCell ref="B28:B32"/>
    <mergeCell ref="B3:B7"/>
    <mergeCell ref="B8:B12"/>
    <mergeCell ref="B13:B17"/>
    <mergeCell ref="B18:B22"/>
    <mergeCell ref="B23:B27"/>
  </mergeCells>
  <hyperlinks>
    <hyperlink ref="P1" location="Índice!A1" display="Índice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Z103"/>
  <sheetViews>
    <sheetView topLeftCell="B76" zoomScale="90" zoomScaleNormal="90" zoomScaleSheetLayoutView="90" workbookViewId="0">
      <pane xSplit="1" topLeftCell="F1" activePane="topRight" state="frozen"/>
      <selection pane="topRight" activeCell="N91" sqref="D91:N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22" width="11.42578125" style="2"/>
    <col min="23" max="25" width="11.42578125" style="76"/>
    <col min="26" max="26" width="11.42578125" style="82"/>
    <col min="27" max="16384" width="11.42578125" style="2"/>
  </cols>
  <sheetData>
    <row r="1" spans="2:26" s="8" customFormat="1" ht="38.25" customHeight="1" thickBot="1">
      <c r="B1" s="22" t="s">
        <v>163</v>
      </c>
      <c r="P1" s="87" t="s">
        <v>111</v>
      </c>
      <c r="W1" s="75"/>
      <c r="X1" s="75"/>
      <c r="Y1" s="75"/>
      <c r="Z1" s="80"/>
    </row>
    <row r="2" spans="2:26" ht="30" customHeight="1" thickTop="1">
      <c r="B2" s="33" t="s">
        <v>36</v>
      </c>
      <c r="C2" s="21" t="s">
        <v>23</v>
      </c>
      <c r="D2" s="141" t="s">
        <v>27</v>
      </c>
      <c r="E2" s="142" t="s">
        <v>28</v>
      </c>
      <c r="F2" s="142" t="s">
        <v>26</v>
      </c>
      <c r="G2" s="142" t="s">
        <v>22</v>
      </c>
      <c r="H2" s="142" t="s">
        <v>29</v>
      </c>
      <c r="I2" s="142" t="s">
        <v>30</v>
      </c>
      <c r="J2" s="142" t="s">
        <v>31</v>
      </c>
      <c r="K2" s="142" t="s">
        <v>32</v>
      </c>
      <c r="L2" s="142" t="s">
        <v>33</v>
      </c>
      <c r="M2" s="142" t="s">
        <v>24</v>
      </c>
      <c r="N2" s="142" t="s">
        <v>34</v>
      </c>
      <c r="O2" s="142" t="s">
        <v>35</v>
      </c>
      <c r="P2" s="141" t="s">
        <v>25</v>
      </c>
      <c r="S2" s="36" t="s">
        <v>191</v>
      </c>
      <c r="Y2" s="77"/>
      <c r="Z2" s="81"/>
    </row>
    <row r="3" spans="2:26" ht="18" customHeight="1" thickBot="1">
      <c r="B3" s="259" t="s">
        <v>0</v>
      </c>
      <c r="C3" s="29" t="s">
        <v>65</v>
      </c>
      <c r="D3" s="34">
        <f>+'Producción Laminados 2017'!D3+'Impo 2017'!D3-'Expo 2017'!D3</f>
        <v>93.743999999999986</v>
      </c>
      <c r="E3" s="34">
        <f>+'Producción Laminados 2017'!E3+'Impo 2017'!E3-'Expo 2017'!E3</f>
        <v>127.778794</v>
      </c>
      <c r="F3" s="34">
        <f>+'Producción Laminados 2017'!F3+'Impo 2017'!F3-'Expo 2017'!F3</f>
        <v>142.95599999999999</v>
      </c>
      <c r="G3" s="34">
        <f>+'Producción Laminados 2017'!G3+'Impo 2017'!G3-'Expo 2017'!G3</f>
        <v>160.92400000000004</v>
      </c>
      <c r="H3" s="34">
        <f>+'Producción Laminados 2017'!H3+'Impo 2017'!H3-'Expo 2017'!H3</f>
        <v>173.54700000000003</v>
      </c>
      <c r="I3" s="34">
        <f>+'Producción Laminados 2017'!I3+'Impo 2017'!I3-'Expo 2017'!I3</f>
        <v>160.86199999999999</v>
      </c>
      <c r="J3" s="34">
        <f>+'Producción Laminados 2017'!J3+'Impo 2017'!J3-'Expo 2017'!J3</f>
        <v>141.78500000000003</v>
      </c>
      <c r="K3" s="34">
        <f>+'Producción Laminados 2017'!K3+'Impo 2017'!K3-'Expo 2017'!K3</f>
        <v>185.57900000000001</v>
      </c>
      <c r="L3" s="34">
        <f>+'Producción Laminados 2017'!L3+'Impo 2017'!L3-'Expo 2017'!L3</f>
        <v>151.93300000000002</v>
      </c>
      <c r="M3" s="34">
        <f>+'Producción Laminados 2017'!M3+'Impo 2017'!M3-'Expo 2017'!M3</f>
        <v>164.143</v>
      </c>
      <c r="N3" s="34">
        <f>+'Producción Laminados 2017'!N3+'Impo 2017'!N3-'Expo 2017'!N3</f>
        <v>168.57023115000001</v>
      </c>
      <c r="O3" s="171">
        <f>+'Producción Laminados 2017'!O3+'Impo 2017'!O3-'Expo 2017'!O3</f>
        <v>151.39699999999999</v>
      </c>
      <c r="P3" s="34">
        <f>+SUM(D3:O3)</f>
        <v>1823.2190251499999</v>
      </c>
      <c r="R3" s="14"/>
      <c r="W3" s="78"/>
      <c r="X3" s="78"/>
      <c r="Y3" s="78"/>
    </row>
    <row r="4" spans="2:26" ht="18" customHeight="1" thickTop="1" thickBot="1">
      <c r="B4" s="260"/>
      <c r="C4" s="29" t="s">
        <v>59</v>
      </c>
      <c r="D4" s="34">
        <f>+'Producción Laminados 2017'!D4+'Impo 2017'!D4-'Expo 2017'!D4</f>
        <v>206.06799999999998</v>
      </c>
      <c r="E4" s="34">
        <f>+'Producción Laminados 2017'!E4+'Impo 2017'!E4-'Expo 2017'!E4</f>
        <v>200.88200000000001</v>
      </c>
      <c r="F4" s="34">
        <f>+'Producción Laminados 2017'!F4+'Impo 2017'!F4-'Expo 2017'!F4</f>
        <v>258.48599999999999</v>
      </c>
      <c r="G4" s="34">
        <f>+'Producción Laminados 2017'!G4+'Impo 2017'!G4-'Expo 2017'!G4</f>
        <v>235.19799999999998</v>
      </c>
      <c r="H4" s="34">
        <f>+'Producción Laminados 2017'!H4+'Impo 2017'!H4-'Expo 2017'!H4</f>
        <v>229.11600000000001</v>
      </c>
      <c r="I4" s="34">
        <f>+'Producción Laminados 2017'!I4+'Impo 2017'!I4-'Expo 2017'!I4</f>
        <v>255.25299999999999</v>
      </c>
      <c r="J4" s="34">
        <f>+'Producción Laminados 2017'!J4+'Impo 2017'!J4-'Expo 2017'!J4</f>
        <v>268.053</v>
      </c>
      <c r="K4" s="34">
        <f>+'Producción Laminados 2017'!K4+'Impo 2017'!K4-'Expo 2017'!K4</f>
        <v>277.29299999999995</v>
      </c>
      <c r="L4" s="34">
        <f>+'Producción Laminados 2017'!L4+'Impo 2017'!L4-'Expo 2017'!L4</f>
        <v>268.93</v>
      </c>
      <c r="M4" s="34">
        <f>+'Producción Laminados 2017'!M4+'Impo 2017'!M4-'Expo 2017'!M4</f>
        <v>165.99199999999999</v>
      </c>
      <c r="N4" s="34">
        <f>+'Producción Laminados 2017'!N4+'Impo 2017'!N4-'Expo 2017'!N4</f>
        <v>252.57100000000003</v>
      </c>
      <c r="O4" s="171">
        <f>+'Producción Laminados 2017'!O4+'Impo 2017'!O4-'Expo 2017'!O4</f>
        <v>256.73899999999998</v>
      </c>
      <c r="P4" s="34">
        <f>+SUM(D4:O4)</f>
        <v>2874.5810000000001</v>
      </c>
      <c r="R4" s="14"/>
      <c r="W4" s="78"/>
      <c r="X4" s="78"/>
      <c r="Y4" s="78"/>
    </row>
    <row r="5" spans="2:26" ht="18" customHeight="1" thickTop="1" thickBot="1">
      <c r="B5" s="260"/>
      <c r="C5" s="29" t="s">
        <v>60</v>
      </c>
      <c r="D5" s="34">
        <f>+'Producción Laminados 2017'!D5+'Impo 2017'!D5-'Expo 2017'!D5</f>
        <v>0.75430252000000308</v>
      </c>
      <c r="E5" s="34">
        <f>+'Producción Laminados 2017'!E5+'Impo 2017'!E5-'Expo 2017'!E5</f>
        <v>-10.481823000000002</v>
      </c>
      <c r="F5" s="34">
        <f>+'Producción Laminados 2017'!F5+'Impo 2017'!F5-'Expo 2017'!F5</f>
        <v>26.737000000000002</v>
      </c>
      <c r="G5" s="34">
        <f>+'Producción Laminados 2017'!G5+'Impo 2017'!G5-'Expo 2017'!G5</f>
        <v>23.746000000000002</v>
      </c>
      <c r="H5" s="34">
        <f>+'Producción Laminados 2017'!H5+'Impo 2017'!H5-'Expo 2017'!H5</f>
        <v>24.594999999999999</v>
      </c>
      <c r="I5" s="34">
        <f>+'Producción Laminados 2017'!I5+'Impo 2017'!I5-'Expo 2017'!I5</f>
        <v>21.267000000000003</v>
      </c>
      <c r="J5" s="34">
        <f>+'Producción Laminados 2017'!J5+'Impo 2017'!J5-'Expo 2017'!J5</f>
        <v>9.8099999999999952</v>
      </c>
      <c r="K5" s="34">
        <f>+'Producción Laminados 2017'!K5+'Impo 2017'!K5-'Expo 2017'!K5</f>
        <v>22.989881</v>
      </c>
      <c r="L5" s="34">
        <f>+'Producción Laminados 2017'!L5+'Impo 2017'!L5-'Expo 2017'!L5</f>
        <v>19.028587999999999</v>
      </c>
      <c r="M5" s="34">
        <f>+'Producción Laminados 2017'!M5+'Impo 2017'!M5-'Expo 2017'!M5</f>
        <v>35.017441310000002</v>
      </c>
      <c r="N5" s="34">
        <f>+'Producción Laminados 2017'!N5+'Impo 2017'!N5-'Expo 2017'!N5</f>
        <v>34.003395810000008</v>
      </c>
      <c r="O5" s="171">
        <f>+'Producción Laminados 2017'!O5+'Impo 2017'!O5-'Expo 2017'!O5</f>
        <v>-0.50826946199998702</v>
      </c>
      <c r="P5" s="34">
        <f>+SUM(D5:O5)</f>
        <v>206.95851617800002</v>
      </c>
      <c r="R5" s="14"/>
      <c r="V5" s="3"/>
      <c r="W5" s="79"/>
      <c r="X5" s="79"/>
      <c r="Y5" s="78"/>
    </row>
    <row r="6" spans="2:26" ht="18" customHeight="1" thickTop="1" thickBot="1">
      <c r="B6" s="260"/>
      <c r="C6" s="29" t="s">
        <v>139</v>
      </c>
      <c r="D6" s="52">
        <f t="shared" ref="D6:M6" si="0">+D3+D4+D5</f>
        <v>300.56630251999997</v>
      </c>
      <c r="E6" s="52">
        <f t="shared" si="0"/>
        <v>318.17897099999999</v>
      </c>
      <c r="F6" s="52">
        <f t="shared" si="0"/>
        <v>428.17900000000003</v>
      </c>
      <c r="G6" s="52">
        <f t="shared" si="0"/>
        <v>419.86799999999999</v>
      </c>
      <c r="H6" s="52">
        <f t="shared" si="0"/>
        <v>427.25800000000004</v>
      </c>
      <c r="I6" s="52">
        <f t="shared" si="0"/>
        <v>437.38200000000001</v>
      </c>
      <c r="J6" s="52">
        <f t="shared" si="0"/>
        <v>419.64800000000002</v>
      </c>
      <c r="K6" s="52">
        <f t="shared" si="0"/>
        <v>485.86188099999998</v>
      </c>
      <c r="L6" s="52">
        <f t="shared" si="0"/>
        <v>439.89158800000007</v>
      </c>
      <c r="M6" s="52">
        <f t="shared" si="0"/>
        <v>365.15244130999997</v>
      </c>
      <c r="N6" s="52">
        <f t="shared" ref="N6:O6" si="1">+N3+N4+N5</f>
        <v>455.1446269600001</v>
      </c>
      <c r="O6" s="52">
        <f t="shared" si="1"/>
        <v>407.62773053799998</v>
      </c>
      <c r="P6" s="34">
        <f>+SUM(D6:O6)*0+4919.9</f>
        <v>4919.8999999999996</v>
      </c>
      <c r="R6" s="46"/>
      <c r="S6" s="12">
        <f>+P6-'Consumo Aparente 2016'!R6</f>
        <v>754.40822165111058</v>
      </c>
      <c r="U6" s="12"/>
      <c r="V6" s="3"/>
      <c r="W6" s="79"/>
      <c r="X6" s="79"/>
      <c r="Y6" s="78"/>
    </row>
    <row r="7" spans="2:26" ht="18" customHeight="1" thickTop="1" thickBot="1">
      <c r="B7" s="260"/>
      <c r="C7" s="32" t="s">
        <v>156</v>
      </c>
      <c r="D7" s="35">
        <f>+(D6-'Consumo Aparente 2016'!D6)/'Consumo Aparente 2016'!D6</f>
        <v>-0.20291440938720828</v>
      </c>
      <c r="E7" s="35">
        <f>+(E6-'Consumo Aparente 2016'!E6)/'Consumo Aparente 2016'!E6</f>
        <v>0.13377025562133152</v>
      </c>
      <c r="F7" s="35">
        <f>+(F6-'Consumo Aparente 2016'!F6)/'Consumo Aparente 2016'!F6</f>
        <v>-8.9089109916651154E-3</v>
      </c>
      <c r="G7" s="35">
        <f>+(G6-'Consumo Aparente 2016'!G6)/'Consumo Aparente 2016'!G6</f>
        <v>1.6817272142438805E-2</v>
      </c>
      <c r="H7" s="35">
        <f>+(H6-'Consumo Aparente 2016'!H6)/'Consumo Aparente 2016'!H6</f>
        <v>7.7958790647144227E-2</v>
      </c>
      <c r="I7" s="35">
        <f>+(I6-'Consumo Aparente 2016'!I6)/'Consumo Aparente 2016'!I6</f>
        <v>0.33290611761491845</v>
      </c>
      <c r="J7" s="35">
        <f>+(J6-'Consumo Aparente 2016'!J6)/'Consumo Aparente 2016'!J6</f>
        <v>0.33094368571938182</v>
      </c>
      <c r="K7" s="35">
        <f>+(K6-'Consumo Aparente 2016'!K6)/'Consumo Aparente 2016'!K6</f>
        <v>1.0773801094241895</v>
      </c>
      <c r="L7" s="35">
        <f>+(L6-'Consumo Aparente 2016'!L6)/'Consumo Aparente 2016'!L6</f>
        <v>0.26034451289946864</v>
      </c>
      <c r="M7" s="35">
        <f>+(M6-'Consumo Aparente 2016'!M6)/'Consumo Aparente 2016'!M6</f>
        <v>-9.5125066492455831E-3</v>
      </c>
      <c r="N7" s="35">
        <f>+(N6-'Consumo Aparente 2016'!N6)/'Consumo Aparente 2016'!N6</f>
        <v>0.24509836771886701</v>
      </c>
      <c r="O7" s="35">
        <f>+(O6-'Consumo Aparente 2016'!O6)/'Consumo Aparente 2016'!O6</f>
        <v>0.33253433180766834</v>
      </c>
      <c r="P7" s="35">
        <f>+(P6-'Consumo Aparente 2016'!R6)/'Consumo Aparente 2016'!R6</f>
        <v>0.18110904109145587</v>
      </c>
      <c r="R7" s="14"/>
      <c r="V7" s="3"/>
      <c r="W7" s="79"/>
      <c r="X7" s="79"/>
      <c r="Y7" s="78"/>
    </row>
    <row r="8" spans="2:26" ht="18" customHeight="1" thickTop="1" thickBot="1">
      <c r="B8" s="260" t="s">
        <v>77</v>
      </c>
      <c r="C8" s="29" t="s">
        <v>65</v>
      </c>
      <c r="D8" s="34">
        <f>+'Impo 2017'!D8-'Expo 2017'!D8</f>
        <v>32.836265120000007</v>
      </c>
      <c r="E8" s="34">
        <f>+'Impo 2017'!E8-'Expo 2017'!E8</f>
        <v>24.806788820000008</v>
      </c>
      <c r="F8" s="34">
        <f>+'Impo 2017'!F8-'Expo 2017'!F8</f>
        <v>38.760597209999979</v>
      </c>
      <c r="G8" s="34">
        <f>+'Impo 2017'!G8-'Expo 2017'!G8</f>
        <v>34.131918389999996</v>
      </c>
      <c r="H8" s="34">
        <f>+'Impo 2017'!H8-'Expo 2017'!H8</f>
        <v>33.787531550000011</v>
      </c>
      <c r="I8" s="34">
        <f>+'Impo 2017'!I8-'Expo 2017'!I8</f>
        <v>19.102139709999989</v>
      </c>
      <c r="J8" s="34">
        <f>+'Impo 2017'!J8-'Expo 2017'!J8</f>
        <v>23.195404149999995</v>
      </c>
      <c r="K8" s="34">
        <f>+'Impo 2017'!K8-'Expo 2017'!K8</f>
        <v>40.691299489999999</v>
      </c>
      <c r="L8" s="34">
        <f>+'Impo 2017'!L8-'Expo 2017'!L8</f>
        <v>24.714487120000001</v>
      </c>
      <c r="M8" s="34">
        <f>+'Impo 2017'!M8-'Expo 2017'!M8</f>
        <v>35.441604990000002</v>
      </c>
      <c r="N8" s="171">
        <f>+'Impo 2017'!N8-'Expo 2017'!N8</f>
        <v>29.989856410000005</v>
      </c>
      <c r="O8" s="171">
        <f>+'Impo 2017'!O8-'Expo 2017'!O8</f>
        <v>32.957754380000004</v>
      </c>
      <c r="P8" s="34">
        <f>+SUM(D8:O8)</f>
        <v>370.41564733999996</v>
      </c>
      <c r="R8" s="14"/>
      <c r="V8" s="3"/>
      <c r="W8" s="79"/>
      <c r="X8" s="79"/>
      <c r="Y8" s="78"/>
    </row>
    <row r="9" spans="2:26" ht="18" customHeight="1" thickTop="1" thickBot="1">
      <c r="B9" s="260"/>
      <c r="C9" s="29" t="s">
        <v>59</v>
      </c>
      <c r="D9" s="34">
        <f>+'Impo 2017'!D9-'Expo 2017'!D9</f>
        <v>21.446198619999979</v>
      </c>
      <c r="E9" s="34">
        <f>+'Impo 2017'!E9-'Expo 2017'!E9</f>
        <v>13.785400400000002</v>
      </c>
      <c r="F9" s="34">
        <f>+'Impo 2017'!F9-'Expo 2017'!F9</f>
        <v>16.842464560000003</v>
      </c>
      <c r="G9" s="34">
        <f>+'Impo 2017'!G9-'Expo 2017'!G9</f>
        <v>6.2525143599999993</v>
      </c>
      <c r="H9" s="34">
        <f>+'Impo 2017'!H9-'Expo 2017'!H9</f>
        <v>15.490044399999997</v>
      </c>
      <c r="I9" s="34">
        <f>+'Impo 2017'!I9-'Expo 2017'!I9</f>
        <v>7.7955251999999993</v>
      </c>
      <c r="J9" s="34">
        <f>+'Impo 2017'!J9-'Expo 2017'!J9</f>
        <v>8.2266197999999982</v>
      </c>
      <c r="K9" s="34">
        <f>+'Impo 2017'!K9-'Expo 2017'!K9</f>
        <v>11.544128959999997</v>
      </c>
      <c r="L9" s="34">
        <f>+'Impo 2017'!L9-'Expo 2017'!L9</f>
        <v>7.1857904699999997</v>
      </c>
      <c r="M9" s="34">
        <f>+'Impo 2017'!M9-'Expo 2017'!M9</f>
        <v>19.189411350000004</v>
      </c>
      <c r="N9" s="171">
        <f>+'Impo 2017'!N9-'Expo 2017'!N9</f>
        <v>8.5218448600000034</v>
      </c>
      <c r="O9" s="171">
        <f>+'Impo 2017'!O9-'Expo 2017'!O9</f>
        <v>12.458998089999998</v>
      </c>
      <c r="P9" s="34">
        <f t="shared" ref="P9:P70" si="2">+SUM(D9:O9)</f>
        <v>148.73894106999998</v>
      </c>
      <c r="R9" s="14"/>
      <c r="V9" s="36"/>
      <c r="W9" s="78"/>
      <c r="X9" s="78"/>
      <c r="Y9" s="78"/>
    </row>
    <row r="10" spans="2:26" ht="18" customHeight="1" thickTop="1" thickBot="1">
      <c r="B10" s="260"/>
      <c r="C10" s="29" t="s">
        <v>60</v>
      </c>
      <c r="D10" s="34">
        <f>+'Impo 2017'!D10-'Expo 2017'!D10</f>
        <v>0.42006962999999997</v>
      </c>
      <c r="E10" s="34">
        <f>+'Impo 2017'!E10-'Expo 2017'!E10</f>
        <v>0.39739514000000009</v>
      </c>
      <c r="F10" s="34">
        <f>+'Impo 2017'!F10-'Expo 2017'!F10</f>
        <v>2.1638541899999999</v>
      </c>
      <c r="G10" s="34">
        <f>+'Impo 2017'!G10-'Expo 2017'!G10</f>
        <v>2.2017194700000005</v>
      </c>
      <c r="H10" s="34">
        <f>+'Impo 2017'!H10-'Expo 2017'!H10</f>
        <v>1.1287131400000001</v>
      </c>
      <c r="I10" s="34">
        <f>+'Impo 2017'!I10-'Expo 2017'!I10</f>
        <v>1.4237449900000003</v>
      </c>
      <c r="J10" s="34">
        <f>+'Impo 2017'!J10-'Expo 2017'!J10</f>
        <v>0.80634118000000021</v>
      </c>
      <c r="K10" s="34">
        <f>+'Impo 2017'!K10-'Expo 2017'!K10</f>
        <v>1.0946837200000001</v>
      </c>
      <c r="L10" s="34">
        <f>+'Impo 2017'!L10-'Expo 2017'!L10</f>
        <v>1.2764205399999997</v>
      </c>
      <c r="M10" s="34">
        <f>+'Impo 2017'!M10-'Expo 2017'!M10</f>
        <v>1.1190685200000001</v>
      </c>
      <c r="N10" s="171">
        <f>+'Impo 2017'!N10-'Expo 2017'!N10</f>
        <v>1.2580625400000001</v>
      </c>
      <c r="O10" s="171">
        <f>+'Impo 2017'!O10-'Expo 2017'!O10</f>
        <v>1.1695638300000004</v>
      </c>
      <c r="P10" s="34">
        <f t="shared" si="2"/>
        <v>14.459636890000002</v>
      </c>
      <c r="R10" s="14"/>
      <c r="V10" s="3"/>
      <c r="W10" s="79"/>
      <c r="X10" s="79"/>
      <c r="Y10" s="78"/>
    </row>
    <row r="11" spans="2:26" ht="18" customHeight="1" thickTop="1" thickBot="1">
      <c r="B11" s="260"/>
      <c r="C11" s="29" t="s">
        <v>139</v>
      </c>
      <c r="D11" s="34">
        <f>+D8+D9+D10</f>
        <v>54.702533369999983</v>
      </c>
      <c r="E11" s="52">
        <f t="shared" ref="E11:G11" si="3">+E8+E9+E10</f>
        <v>38.989584360000009</v>
      </c>
      <c r="F11" s="52">
        <f t="shared" si="3"/>
        <v>57.766915959999984</v>
      </c>
      <c r="G11" s="52">
        <f t="shared" si="3"/>
        <v>42.586152219999995</v>
      </c>
      <c r="H11" s="52">
        <f t="shared" ref="H11:M11" si="4">+H8+H9+H10</f>
        <v>50.406289090000008</v>
      </c>
      <c r="I11" s="52">
        <f t="shared" si="4"/>
        <v>28.321409899999988</v>
      </c>
      <c r="J11" s="52">
        <f t="shared" si="4"/>
        <v>32.228365129999993</v>
      </c>
      <c r="K11" s="52">
        <f t="shared" si="4"/>
        <v>53.330112169999992</v>
      </c>
      <c r="L11" s="52">
        <f t="shared" si="4"/>
        <v>33.176698129999998</v>
      </c>
      <c r="M11" s="52">
        <f t="shared" si="4"/>
        <v>55.750084860000001</v>
      </c>
      <c r="N11" s="52">
        <f t="shared" ref="N11:O11" si="5">+N8+N9+N10</f>
        <v>39.769763810000008</v>
      </c>
      <c r="O11" s="52">
        <f t="shared" si="5"/>
        <v>46.586316300000007</v>
      </c>
      <c r="P11" s="34">
        <f t="shared" si="2"/>
        <v>533.61422529999993</v>
      </c>
      <c r="R11" s="46"/>
      <c r="S11" s="12">
        <f>+P11-'Consumo Aparente 2016'!R11</f>
        <v>-92.910611700000118</v>
      </c>
      <c r="T11" s="2">
        <f>+P11/11*12</f>
        <v>582.12460941818176</v>
      </c>
      <c r="U11" s="12"/>
      <c r="V11" s="3"/>
      <c r="W11" s="79"/>
      <c r="X11" s="79"/>
      <c r="Y11" s="78"/>
    </row>
    <row r="12" spans="2:26" ht="18" customHeight="1" thickTop="1" thickBot="1">
      <c r="B12" s="260"/>
      <c r="C12" s="32" t="s">
        <v>156</v>
      </c>
      <c r="D12" s="35">
        <f>+(D11-'Consumo Aparente 2016'!D11)/'Consumo Aparente 2016'!D11</f>
        <v>0.1207599230141201</v>
      </c>
      <c r="E12" s="35">
        <f>+(E11-'Consumo Aparente 2016'!E11)/'Consumo Aparente 2016'!E11</f>
        <v>-0.20071239322483048</v>
      </c>
      <c r="F12" s="35">
        <f>+(F11-'Consumo Aparente 2016'!F11)/'Consumo Aparente 2016'!F11</f>
        <v>-0.20842026054079243</v>
      </c>
      <c r="G12" s="35">
        <f>+(G11-'Consumo Aparente 2016'!G11)/'Consumo Aparente 2016'!G11</f>
        <v>-0.30119737382031125</v>
      </c>
      <c r="H12" s="35">
        <f>+(H11-'Consumo Aparente 2016'!H11)/'Consumo Aparente 2016'!H11</f>
        <v>-4.7078233963240353E-2</v>
      </c>
      <c r="I12" s="35">
        <f>+(I11-'Consumo Aparente 2016'!I11)/'Consumo Aparente 2016'!I11</f>
        <v>-0.53300446359221398</v>
      </c>
      <c r="J12" s="35">
        <f>+(J11-'Consumo Aparente 2016'!J11)/'Consumo Aparente 2016'!J11</f>
        <v>-0.15597872020922535</v>
      </c>
      <c r="K12" s="35">
        <f>+(K11-'Consumo Aparente 2016'!K11)/'Consumo Aparente 2016'!K11</f>
        <v>1.4163345524819796E-2</v>
      </c>
      <c r="L12" s="35">
        <f>+(L11-'Consumo Aparente 2016'!L11)/'Consumo Aparente 2016'!L11</f>
        <v>-0.27713833748497246</v>
      </c>
      <c r="M12" s="35">
        <f>+(M11-'Consumo Aparente 2016'!M11)/'Consumo Aparente 2016'!M11</f>
        <v>0.24278660688697568</v>
      </c>
      <c r="N12" s="35">
        <f>+(N11-'Consumo Aparente 2016'!N11)/'Consumo Aparente 2016'!N11</f>
        <v>-0.28583784127304274</v>
      </c>
      <c r="O12" s="35">
        <f>+(O11-'Consumo Aparente 2016'!O11)/'Consumo Aparente 2016'!O11</f>
        <v>5.2491970075777737E-2</v>
      </c>
      <c r="P12" s="35">
        <f>+(P11-'Consumo Aparente 2016'!R11)/'Consumo Aparente 2016'!R11</f>
        <v>-0.14829517716310442</v>
      </c>
      <c r="Q12" s="35"/>
      <c r="R12" s="14"/>
      <c r="W12" s="78"/>
      <c r="X12" s="78"/>
      <c r="Y12" s="78"/>
    </row>
    <row r="13" spans="2:26" ht="18" customHeight="1" thickTop="1" thickBot="1">
      <c r="B13" s="260" t="s">
        <v>42</v>
      </c>
      <c r="C13" s="29" t="s">
        <v>65</v>
      </c>
      <c r="D13" s="34">
        <f>+'Producción Laminados 2017'!D8+'Impo 2017'!D13-'Expo 2017'!D13</f>
        <v>633.90300000000002</v>
      </c>
      <c r="E13" s="34">
        <f>+'Producción Laminados 2017'!E8+'Impo 2017'!E13-'Expo 2017'!E13</f>
        <v>621.72499999999991</v>
      </c>
      <c r="F13" s="34">
        <f>+'Producción Laminados 2017'!F8+'Impo 2017'!F13-'Expo 2017'!F13</f>
        <v>678.19400000000007</v>
      </c>
      <c r="G13" s="34">
        <f>+'Producción Laminados 2017'!G8+'Impo 2017'!G13-'Expo 2017'!G13</f>
        <v>634.11899999999991</v>
      </c>
      <c r="H13" s="34">
        <f>+'Producción Laminados 2017'!H8+'Impo 2017'!H13-'Expo 2017'!H13</f>
        <v>603.57600000000002</v>
      </c>
      <c r="I13" s="34">
        <f>+'Producción Laminados 2017'!I8+'Impo 2017'!I13-'Expo 2017'!I13</f>
        <v>598.15899999999999</v>
      </c>
      <c r="J13" s="34">
        <f>+'Producción Laminados 2017'!J8+'Impo 2017'!J13-'Expo 2017'!J13</f>
        <v>609.63</v>
      </c>
      <c r="K13" s="34">
        <f>+'Producción Laminados 2017'!K8+'Impo 2017'!K13-'Expo 2017'!K13</f>
        <v>571.55000000000007</v>
      </c>
      <c r="L13" s="34">
        <f>+'Producción Laminados 2017'!L8+'Impo 2017'!L13-'Expo 2017'!L13</f>
        <v>578.83500000000004</v>
      </c>
      <c r="M13" s="34">
        <f>+'Producción Laminados 2017'!M8+'Impo 2017'!M13-'Expo 2017'!M13</f>
        <v>669.83499999999992</v>
      </c>
      <c r="N13" s="34">
        <f>+'Producción Laminados 2017'!N8+'Impo 2017'!N13-'Expo 2017'!N13</f>
        <v>625.12800000000004</v>
      </c>
      <c r="O13" s="34">
        <f>+'Producción Laminados 2017'!O8+'Impo 2017'!O13-'Expo 2017'!O13</f>
        <v>510.41000000000008</v>
      </c>
      <c r="P13" s="34">
        <f>+SUM(D13:O13)</f>
        <v>7335.0639999999994</v>
      </c>
      <c r="R13" s="14"/>
      <c r="V13" s="3"/>
      <c r="W13" s="79"/>
      <c r="X13" s="79"/>
      <c r="Y13" s="78"/>
    </row>
    <row r="14" spans="2:26" ht="18" customHeight="1" thickTop="1" thickBot="1">
      <c r="B14" s="260"/>
      <c r="C14" s="29" t="s">
        <v>59</v>
      </c>
      <c r="D14" s="34">
        <f>+'Producción Laminados 2017'!D9+'Impo 2017'!D14-'Expo 2017'!D14</f>
        <v>918.33699999999999</v>
      </c>
      <c r="E14" s="34">
        <f>+'Producción Laminados 2017'!E9+'Impo 2017'!E14-'Expo 2017'!E14</f>
        <v>884.38499999999999</v>
      </c>
      <c r="F14" s="34">
        <f>+'Producción Laminados 2017'!F9+'Impo 2017'!F14-'Expo 2017'!F14</f>
        <v>1037.3230000000001</v>
      </c>
      <c r="G14" s="34">
        <f>+'Producción Laminados 2017'!G9+'Impo 2017'!G14-'Expo 2017'!G14</f>
        <v>1052.2080000000001</v>
      </c>
      <c r="H14" s="34">
        <f>+'Producción Laminados 2017'!H9+'Impo 2017'!H14-'Expo 2017'!H14</f>
        <v>941.35899999999992</v>
      </c>
      <c r="I14" s="34">
        <f>+'Producción Laminados 2017'!I9+'Impo 2017'!I14-'Expo 2017'!I14</f>
        <v>883.59799999999996</v>
      </c>
      <c r="J14" s="34">
        <f>+'Producción Laminados 2017'!J9+'Impo 2017'!J14-'Expo 2017'!J14</f>
        <v>1060.3990000000001</v>
      </c>
      <c r="K14" s="34">
        <f>+'Producción Laminados 2017'!K9+'Impo 2017'!K14-'Expo 2017'!K14</f>
        <v>1002.261</v>
      </c>
      <c r="L14" s="34">
        <f>+'Producción Laminados 2017'!L9+'Impo 2017'!L14-'Expo 2017'!L14</f>
        <v>989.35699999999997</v>
      </c>
      <c r="M14" s="34">
        <f>+'Producción Laminados 2017'!M9+'Impo 2017'!M14-'Expo 2017'!M14</f>
        <v>1068.8980000000001</v>
      </c>
      <c r="N14" s="34">
        <f>+'Producción Laminados 2017'!N9+'Impo 2017'!N14-'Expo 2017'!N14</f>
        <v>978.12199999999996</v>
      </c>
      <c r="O14" s="34">
        <f>+'Producción Laminados 2017'!O9+'Impo 2017'!O14-'Expo 2017'!O14</f>
        <v>810.77600000000007</v>
      </c>
      <c r="P14" s="34">
        <f t="shared" si="2"/>
        <v>11627.022999999999</v>
      </c>
      <c r="R14" s="14"/>
      <c r="V14" s="3"/>
      <c r="W14" s="79"/>
      <c r="X14" s="79"/>
      <c r="Y14" s="78"/>
    </row>
    <row r="15" spans="2:26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 t="shared" si="2"/>
        <v>0</v>
      </c>
      <c r="R15" s="14"/>
      <c r="W15" s="78"/>
      <c r="X15" s="78"/>
      <c r="Y15" s="78"/>
    </row>
    <row r="16" spans="2:26" ht="18" customHeight="1" thickTop="1" thickBot="1">
      <c r="B16" s="260"/>
      <c r="C16" s="29" t="s">
        <v>139</v>
      </c>
      <c r="D16" s="34">
        <v>1450</v>
      </c>
      <c r="E16" s="52">
        <v>1398</v>
      </c>
      <c r="F16" s="52">
        <v>1718</v>
      </c>
      <c r="G16" s="52">
        <v>1351</v>
      </c>
      <c r="H16" s="52">
        <v>1611</v>
      </c>
      <c r="I16" s="52">
        <v>1685</v>
      </c>
      <c r="J16" s="52">
        <v>1641</v>
      </c>
      <c r="K16" s="52">
        <v>1743</v>
      </c>
      <c r="L16" s="52">
        <v>1770</v>
      </c>
      <c r="M16" s="52">
        <v>1655</v>
      </c>
      <c r="N16" s="52">
        <v>1599</v>
      </c>
      <c r="O16" s="34">
        <v>1557</v>
      </c>
      <c r="P16" s="34">
        <f>+SUM(D16:O16)</f>
        <v>19178</v>
      </c>
      <c r="R16" s="46"/>
      <c r="S16" s="12">
        <f>+P16-'Consumo Aparente 2016'!R16</f>
        <v>961</v>
      </c>
      <c r="U16" s="12"/>
      <c r="V16" s="3"/>
      <c r="W16" s="79"/>
      <c r="X16" s="79"/>
      <c r="Y16" s="78"/>
    </row>
    <row r="17" spans="2:26" ht="18" customHeight="1" thickTop="1" thickBot="1">
      <c r="B17" s="260"/>
      <c r="C17" s="32" t="s">
        <v>156</v>
      </c>
      <c r="D17" s="35">
        <f>+(D16-'Consumo Aparente 2016'!D16)/'Consumo Aparente 2016'!D16</f>
        <v>8.5329341317365276E-2</v>
      </c>
      <c r="E17" s="35">
        <f>+(E16-'Consumo Aparente 2016'!E16)/'Consumo Aparente 2016'!E16</f>
        <v>2.4175824175824177E-2</v>
      </c>
      <c r="F17" s="35">
        <f>+(F16-'Consumo Aparente 2016'!F16)/'Consumo Aparente 2016'!F16</f>
        <v>4.1212121212121214E-2</v>
      </c>
      <c r="G17" s="35">
        <f>+(G16-'Consumo Aparente 2016'!G16)/'Consumo Aparente 2016'!G16</f>
        <v>-9.5716198125836677E-2</v>
      </c>
      <c r="H17" s="35">
        <f>+(H16-'Consumo Aparente 2016'!H16)/'Consumo Aparente 2016'!H16</f>
        <v>4.7464239271781533E-2</v>
      </c>
      <c r="I17" s="35">
        <f>+(I16-'Consumo Aparente 2016'!I16)/'Consumo Aparente 2016'!I16</f>
        <v>6.6455696202531639E-2</v>
      </c>
      <c r="J17" s="35">
        <f>+(J16-'Consumo Aparente 2016'!J16)/'Consumo Aparente 2016'!J16</f>
        <v>9.109042553191489E-2</v>
      </c>
      <c r="K17" s="35">
        <f>+(K16-'Consumo Aparente 2016'!K16)/'Consumo Aparente 2016'!K16</f>
        <v>9.5537397862979254E-2</v>
      </c>
      <c r="L17" s="35">
        <f>+(L16-'Consumo Aparente 2016'!L16)/'Consumo Aparente 2016'!L16</f>
        <v>9.1245376078914919E-2</v>
      </c>
      <c r="M17" s="35">
        <f>+(M16-'Consumo Aparente 2016'!M16)/'Consumo Aparente 2016'!M16</f>
        <v>3.1152647975077882E-2</v>
      </c>
      <c r="N17" s="35">
        <f>+(N16-'Consumo Aparente 2016'!N16)/'Consumo Aparente 2016'!N16</f>
        <v>4.1015625E-2</v>
      </c>
      <c r="O17" s="35">
        <f>+(O16-'Consumo Aparente 2016'!O16)/'Consumo Aparente 2016'!O16</f>
        <v>0.11532951289398281</v>
      </c>
      <c r="P17" s="35">
        <f>+(P16-'Consumo Aparente 2016'!R16)/'Consumo Aparente 2016'!R16</f>
        <v>5.2752923093813471E-2</v>
      </c>
      <c r="R17" s="14"/>
      <c r="W17" s="78"/>
      <c r="X17" s="78"/>
      <c r="Y17" s="78"/>
    </row>
    <row r="18" spans="2:26" ht="18" customHeight="1" thickTop="1" thickBot="1">
      <c r="B18" s="260" t="s">
        <v>1</v>
      </c>
      <c r="C18" s="29" t="s">
        <v>65</v>
      </c>
      <c r="D18" s="34">
        <f>+'Producción Laminados 2017'!D13+'Impo 2017'!D18-'Expo 2017'!D18</f>
        <v>88.913785459999161</v>
      </c>
      <c r="E18" s="34">
        <f>+'Producción Laminados 2017'!E13+'Impo 2017'!E18-'Expo 2017'!E18</f>
        <v>95.032532780000153</v>
      </c>
      <c r="F18" s="34">
        <f>+'Producción Laminados 2017'!F13+'Impo 2017'!F18-'Expo 2017'!F18</f>
        <v>146.35608496999927</v>
      </c>
      <c r="G18" s="34">
        <f>+'Producción Laminados 2017'!G13+'Impo 2017'!G18-'Expo 2017'!G18</f>
        <v>111.10102498999959</v>
      </c>
      <c r="H18" s="34">
        <f>+'Producción Laminados 2017'!H13+'Impo 2017'!H18-'Expo 2017'!H18</f>
        <v>116.93469495000041</v>
      </c>
      <c r="I18" s="34">
        <f>+'Producción Laminados 2017'!I13+'Impo 2017'!I18-'Expo 2017'!I18</f>
        <v>109.87241895000008</v>
      </c>
      <c r="J18" s="34">
        <f>+'Producción Laminados 2017'!J13+'Impo 2017'!J18-'Expo 2017'!J18</f>
        <v>105.2478683199999</v>
      </c>
      <c r="K18" s="34">
        <f>+'Producción Laminados 2017'!K13+'Impo 2017'!K18-'Expo 2017'!K18</f>
        <v>95.284833010000227</v>
      </c>
      <c r="L18" s="34">
        <f>+'Producción Laminados 2017'!L13+'Impo 2017'!L18-'Expo 2017'!L18</f>
        <v>103.40151249999813</v>
      </c>
      <c r="M18" s="34">
        <f>+'Producción Laminados 2017'!M13+'Impo 2017'!M18-'Expo 2017'!M18</f>
        <v>117.44377159999965</v>
      </c>
      <c r="N18" s="34">
        <f>+'Producción Laminados 2017'!N13+'Impo 2017'!N18-'Expo 2017'!N18</f>
        <v>128.45782024000007</v>
      </c>
      <c r="O18" s="34">
        <f>+'Producción Laminados 2017'!O13+'Impo 2017'!O18-'Expo 2017'!O18</f>
        <v>135.5527633599971</v>
      </c>
      <c r="P18" s="34">
        <f>+SUM(D18:O18)</f>
        <v>1353.5991111299938</v>
      </c>
      <c r="R18" s="45"/>
      <c r="W18" s="78"/>
      <c r="X18" s="78"/>
      <c r="Y18" s="78"/>
    </row>
    <row r="19" spans="2:26" ht="18" customHeight="1" thickTop="1" thickBot="1">
      <c r="B19" s="260"/>
      <c r="C19" s="29" t="s">
        <v>59</v>
      </c>
      <c r="D19" s="34">
        <f>+'Producción Laminados 2017'!D14+'Impo 2017'!D19-'Expo 2017'!D19</f>
        <v>132.40281050999999</v>
      </c>
      <c r="E19" s="34">
        <f>+'Producción Laminados 2017'!E14+'Impo 2017'!E19-'Expo 2017'!E19</f>
        <v>89.926933059999996</v>
      </c>
      <c r="F19" s="34">
        <f>+'Producción Laminados 2017'!F14+'Impo 2017'!F19-'Expo 2017'!F19</f>
        <v>134.68958744999998</v>
      </c>
      <c r="G19" s="34">
        <f>+'Producción Laminados 2017'!G14+'Impo 2017'!G19-'Expo 2017'!G19</f>
        <v>103.45256544000004</v>
      </c>
      <c r="H19" s="34">
        <f>+'Producción Laminados 2017'!H14+'Impo 2017'!H19-'Expo 2017'!H19</f>
        <v>126.53923547000002</v>
      </c>
      <c r="I19" s="34">
        <f>+'Producción Laminados 2017'!I14+'Impo 2017'!I19-'Expo 2017'!I19</f>
        <v>112.83593143999997</v>
      </c>
      <c r="J19" s="34">
        <f>+'Producción Laminados 2017'!J14+'Impo 2017'!J19-'Expo 2017'!J19</f>
        <v>93.984713560000046</v>
      </c>
      <c r="K19" s="34">
        <f>+'Producción Laminados 2017'!K14+'Impo 2017'!K19-'Expo 2017'!K19</f>
        <v>116.43044631999999</v>
      </c>
      <c r="L19" s="34">
        <f>+'Producción Laminados 2017'!L14+'Impo 2017'!L19-'Expo 2017'!L19</f>
        <v>113.49865099000002</v>
      </c>
      <c r="M19" s="34">
        <f>+'Producción Laminados 2017'!M14+'Impo 2017'!M19-'Expo 2017'!M19</f>
        <v>80.874279059999949</v>
      </c>
      <c r="N19" s="34">
        <f>+'Producción Laminados 2017'!N14+'Impo 2017'!N19-'Expo 2017'!N19</f>
        <v>106.34099374000002</v>
      </c>
      <c r="O19" s="34">
        <f>+'Producción Laminados 2017'!O14+'Impo 2017'!O19-'Expo 2017'!O19</f>
        <v>95.044451720000055</v>
      </c>
      <c r="P19" s="34">
        <f t="shared" si="2"/>
        <v>1306.02059876</v>
      </c>
      <c r="R19" s="14"/>
      <c r="W19" s="78"/>
      <c r="X19" s="78"/>
      <c r="Y19" s="78"/>
    </row>
    <row r="20" spans="2:26" ht="18" customHeight="1" thickTop="1" thickBot="1">
      <c r="B20" s="260"/>
      <c r="C20" s="29" t="s">
        <v>60</v>
      </c>
      <c r="D20" s="34">
        <f>+'Producción Laminados 2017'!D15+'Impo 2017'!D20-'Expo 2017'!D20</f>
        <v>1.8474885299999995</v>
      </c>
      <c r="E20" s="34">
        <f>+'Producción Laminados 2017'!E15+'Impo 2017'!E20-'Expo 2017'!E20</f>
        <v>1.3936397599999995</v>
      </c>
      <c r="F20" s="34">
        <f>+'Producción Laminados 2017'!F15+'Impo 2017'!F20-'Expo 2017'!F20</f>
        <v>2.3126005599999999</v>
      </c>
      <c r="G20" s="34">
        <f>+'Producción Laminados 2017'!G15+'Impo 2017'!G20-'Expo 2017'!G20</f>
        <v>0.97142626999999926</v>
      </c>
      <c r="H20" s="34">
        <f>+'Producción Laminados 2017'!H15+'Impo 2017'!H20-'Expo 2017'!H20</f>
        <v>1.5052242900000001</v>
      </c>
      <c r="I20" s="34">
        <f>+'Producción Laminados 2017'!I15+'Impo 2017'!I20-'Expo 2017'!I20</f>
        <v>2.6193653100000018</v>
      </c>
      <c r="J20" s="34">
        <f>+'Producción Laminados 2017'!J15+'Impo 2017'!J20-'Expo 2017'!J20</f>
        <v>0.7479639299999995</v>
      </c>
      <c r="K20" s="34">
        <f>+'Producción Laminados 2017'!K15+'Impo 2017'!K20-'Expo 2017'!K20</f>
        <v>1.7367483900000011</v>
      </c>
      <c r="L20" s="34">
        <f>+'Producción Laminados 2017'!L15+'Impo 2017'!L20-'Expo 2017'!L20</f>
        <v>1.8062402100000008</v>
      </c>
      <c r="M20" s="34">
        <f>+'Producción Laminados 2017'!M15+'Impo 2017'!M20-'Expo 2017'!M20</f>
        <v>2.0009350100000014</v>
      </c>
      <c r="N20" s="34">
        <f>+'Producción Laminados 2017'!N15+'Impo 2017'!N20-'Expo 2017'!N20</f>
        <v>3.7536562800000004</v>
      </c>
      <c r="O20" s="34">
        <f>+'Producción Laminados 2017'!O15+'Impo 2017'!O20-'Expo 2017'!O20</f>
        <v>1.6961533900000001</v>
      </c>
      <c r="P20" s="34">
        <f t="shared" si="2"/>
        <v>22.391441930000003</v>
      </c>
      <c r="R20" s="14"/>
      <c r="V20" s="3"/>
      <c r="W20" s="79"/>
      <c r="X20" s="79"/>
      <c r="Y20" s="78"/>
    </row>
    <row r="21" spans="2:26" ht="18" customHeight="1" thickTop="1" thickBot="1">
      <c r="B21" s="260"/>
      <c r="C21" s="29" t="s">
        <v>139</v>
      </c>
      <c r="D21" s="34">
        <f>+D18+D19+D20</f>
        <v>223.16408449999915</v>
      </c>
      <c r="E21" s="52">
        <f t="shared" ref="E21:G21" si="6">+E18+E19+E20</f>
        <v>186.35310560000016</v>
      </c>
      <c r="F21" s="52">
        <f t="shared" si="6"/>
        <v>283.3582729799993</v>
      </c>
      <c r="G21" s="52">
        <f t="shared" si="6"/>
        <v>215.52501669999964</v>
      </c>
      <c r="H21" s="52">
        <f t="shared" ref="H21:M21" si="7">+H18+H19+H20</f>
        <v>244.97915471000044</v>
      </c>
      <c r="I21" s="52">
        <f t="shared" si="7"/>
        <v>225.32771570000006</v>
      </c>
      <c r="J21" s="52">
        <f t="shared" si="7"/>
        <v>199.98054580999994</v>
      </c>
      <c r="K21" s="52">
        <f t="shared" si="7"/>
        <v>213.45202772000022</v>
      </c>
      <c r="L21" s="52">
        <f t="shared" si="7"/>
        <v>218.70640369999813</v>
      </c>
      <c r="M21" s="52">
        <f t="shared" si="7"/>
        <v>200.31898566999959</v>
      </c>
      <c r="N21" s="52">
        <f t="shared" ref="N21:O21" si="8">+N18+N19+N20</f>
        <v>238.55247026000009</v>
      </c>
      <c r="O21" s="52">
        <f t="shared" si="8"/>
        <v>232.29336846999718</v>
      </c>
      <c r="P21" s="34">
        <f>+SUM(D21:O21)*0+2758.7</f>
        <v>2758.7</v>
      </c>
      <c r="R21" s="14"/>
      <c r="S21" s="12">
        <f>+P21-'Consumo Aparente 2016'!R21</f>
        <v>151.73521955400247</v>
      </c>
      <c r="U21" s="12"/>
      <c r="V21" s="2">
        <f>+AVERAGE(E21:N21)*12</f>
        <v>2671.8644386199967</v>
      </c>
      <c r="Y21" s="78"/>
    </row>
    <row r="22" spans="2:26" ht="18" customHeight="1" thickTop="1" thickBot="1">
      <c r="B22" s="260"/>
      <c r="C22" s="32" t="s">
        <v>156</v>
      </c>
      <c r="D22" s="35">
        <f>+(D21-'Consumo Aparente 2016'!D21)/'Consumo Aparente 2016'!D21</f>
        <v>-0.13245170985656865</v>
      </c>
      <c r="E22" s="35">
        <f>+(E21-'Consumo Aparente 2016'!E21)/'Consumo Aparente 2016'!E21</f>
        <v>-0.11460549293654289</v>
      </c>
      <c r="F22" s="35">
        <f>+(F21-'Consumo Aparente 2016'!F21)/'Consumo Aparente 2016'!F21</f>
        <v>0.19805447200086457</v>
      </c>
      <c r="G22" s="35">
        <f>+(G21-'Consumo Aparente 2016'!G21)/'Consumo Aparente 2016'!G21</f>
        <v>0.24238902798463535</v>
      </c>
      <c r="H22" s="35">
        <f>+(H21-'Consumo Aparente 2016'!H21)/'Consumo Aparente 2016'!H21</f>
        <v>2.7890200031951543E-3</v>
      </c>
      <c r="I22" s="35">
        <f>+(I21-'Consumo Aparente 2016'!I21)/'Consumo Aparente 2016'!I21</f>
        <v>5.8396551146985019E-2</v>
      </c>
      <c r="J22" s="35">
        <f>+(J21-'Consumo Aparente 2016'!J21)/'Consumo Aparente 2016'!J21</f>
        <v>6.5124468798934756E-2</v>
      </c>
      <c r="K22" s="35">
        <f>+(K21-'Consumo Aparente 2016'!K21)/'Consumo Aparente 2016'!K21</f>
        <v>-6.0572875154160224E-2</v>
      </c>
      <c r="L22" s="35">
        <f>+(L21-'Consumo Aparente 2016'!L21)/'Consumo Aparente 2016'!L21</f>
        <v>-4.7427602392267183E-2</v>
      </c>
      <c r="M22" s="35">
        <f>+(M21-'Consumo Aparente 2016'!M21)/'Consumo Aparente 2016'!M21</f>
        <v>-2.6065723190534185E-2</v>
      </c>
      <c r="N22" s="35">
        <f>+(N21-'Consumo Aparente 2016'!N21)/'Consumo Aparente 2016'!N21</f>
        <v>3.8327065254171941E-2</v>
      </c>
      <c r="O22" s="35">
        <f>+(O21-'Consumo Aparente 2016'!O21)/'Consumo Aparente 2016'!O21</f>
        <v>0.20936387836745027</v>
      </c>
      <c r="P22" s="35">
        <f>+(P21-'Consumo Aparente 2016'!R21)/'Consumo Aparente 2016'!R21</f>
        <v>5.8203785755802859E-2</v>
      </c>
      <c r="R22" s="14"/>
      <c r="Y22" s="78"/>
    </row>
    <row r="23" spans="2:26" ht="18" customHeight="1" thickTop="1" thickBot="1">
      <c r="B23" s="260" t="s">
        <v>2</v>
      </c>
      <c r="C23" s="29" t="s">
        <v>65</v>
      </c>
      <c r="D23" s="34">
        <v>189.35503088000002</v>
      </c>
      <c r="E23" s="34">
        <v>184.48728302000001</v>
      </c>
      <c r="F23" s="34">
        <v>202.20710898999997</v>
      </c>
      <c r="G23" s="34">
        <v>189.72099295000001</v>
      </c>
      <c r="H23" s="34">
        <v>177.24072285999998</v>
      </c>
      <c r="I23" s="34">
        <v>176.42053559000001</v>
      </c>
      <c r="J23" s="34">
        <v>169.03002725000002</v>
      </c>
      <c r="K23" s="34">
        <v>208.68599418000002</v>
      </c>
      <c r="L23" s="34">
        <v>182.25099090000001</v>
      </c>
      <c r="M23" s="34">
        <v>180.52741990999999</v>
      </c>
      <c r="N23" s="34">
        <v>167.42725411999999</v>
      </c>
      <c r="O23" s="171">
        <v>170.98985582000003</v>
      </c>
      <c r="P23" s="34">
        <f>+SUM(D23:O23)</f>
        <v>2198.3432164700002</v>
      </c>
      <c r="R23" s="14"/>
      <c r="Y23" s="78"/>
    </row>
    <row r="24" spans="2:26" ht="18" customHeight="1" thickTop="1" thickBot="1">
      <c r="B24" s="260"/>
      <c r="C24" s="29" t="s">
        <v>59</v>
      </c>
      <c r="D24" s="34">
        <v>99.525858769999985</v>
      </c>
      <c r="E24" s="34">
        <v>97.588680850000003</v>
      </c>
      <c r="F24" s="34">
        <v>135.92086146999998</v>
      </c>
      <c r="G24" s="34">
        <v>107.97741476999997</v>
      </c>
      <c r="H24" s="34">
        <v>81.387693660000011</v>
      </c>
      <c r="I24" s="34">
        <v>107.44391228999994</v>
      </c>
      <c r="J24" s="34">
        <v>129.40165603000003</v>
      </c>
      <c r="K24" s="34">
        <v>118.15233739000003</v>
      </c>
      <c r="L24" s="34">
        <v>112.73185056</v>
      </c>
      <c r="M24" s="171">
        <v>89.127460819999996</v>
      </c>
      <c r="N24" s="34">
        <v>53.020967800000001</v>
      </c>
      <c r="O24" s="171">
        <v>59.362488509999999</v>
      </c>
      <c r="P24" s="34">
        <f t="shared" si="2"/>
        <v>1191.6411829200001</v>
      </c>
      <c r="R24" s="14"/>
      <c r="Y24" s="78"/>
    </row>
    <row r="25" spans="2:26" ht="18" customHeight="1" thickTop="1" thickBot="1">
      <c r="B25" s="260"/>
      <c r="C25" s="29" t="s">
        <v>60</v>
      </c>
      <c r="D25" s="34">
        <v>23.490021259999999</v>
      </c>
      <c r="E25" s="34">
        <v>7.8506057899999977</v>
      </c>
      <c r="F25" s="34">
        <v>15.551970219999992</v>
      </c>
      <c r="G25" s="34">
        <v>2.952985630000001</v>
      </c>
      <c r="H25" s="34">
        <v>5.5929726799999955</v>
      </c>
      <c r="I25" s="34">
        <v>9.7776626799999988</v>
      </c>
      <c r="J25" s="34">
        <v>7.3387304299999991</v>
      </c>
      <c r="K25" s="34">
        <f>+'Producción Laminados 2017'!K20+'Impo 2017'!K25-'Expo 2017'!K25</f>
        <v>21.300095170000002</v>
      </c>
      <c r="L25" s="34">
        <f>+'Producción Laminados 2017'!L20+'Impo 2017'!L25-'Expo 2017'!L25</f>
        <v>14.416036360000001</v>
      </c>
      <c r="M25" s="34">
        <f>+'Producción Laminados 2017'!M20+'Impo 2017'!M25-'Expo 2017'!M25</f>
        <v>8.6199612499999994</v>
      </c>
      <c r="N25" s="34">
        <f>+'Producción Laminados 2017'!N20+'Impo 2017'!N25-'Expo 2017'!N25</f>
        <v>11.077783929999999</v>
      </c>
      <c r="O25" s="171">
        <f>+'Producción Laminados 2017'!O20+'Impo 2017'!O25-'Expo 2017'!O25</f>
        <v>16.52103104</v>
      </c>
      <c r="P25" s="34">
        <f t="shared" si="2"/>
        <v>144.48985643999998</v>
      </c>
      <c r="R25" s="14"/>
      <c r="Y25" s="78"/>
    </row>
    <row r="26" spans="2:26" ht="18" customHeight="1" thickTop="1" thickBot="1">
      <c r="B26" s="260"/>
      <c r="C26" s="29" t="s">
        <v>139</v>
      </c>
      <c r="D26" s="52">
        <f t="shared" ref="D26:G26" si="9">+D23+D24+D25</f>
        <v>312.37091090999996</v>
      </c>
      <c r="E26" s="52">
        <f t="shared" si="9"/>
        <v>289.92656965999998</v>
      </c>
      <c r="F26" s="52">
        <f t="shared" si="9"/>
        <v>353.6799406799999</v>
      </c>
      <c r="G26" s="52">
        <f t="shared" si="9"/>
        <v>300.65139334999998</v>
      </c>
      <c r="H26" s="52">
        <f t="shared" ref="H26:M26" si="10">+H23+H24+H25</f>
        <v>264.22138919999998</v>
      </c>
      <c r="I26" s="52">
        <f t="shared" si="10"/>
        <v>293.64211055999994</v>
      </c>
      <c r="J26" s="52">
        <f t="shared" si="10"/>
        <v>305.77041371000001</v>
      </c>
      <c r="K26" s="52">
        <f t="shared" si="10"/>
        <v>348.13842674000006</v>
      </c>
      <c r="L26" s="52">
        <f t="shared" si="10"/>
        <v>309.39887782000005</v>
      </c>
      <c r="M26" s="52">
        <f t="shared" si="10"/>
        <v>278.27484198000002</v>
      </c>
      <c r="N26" s="52">
        <f t="shared" ref="N26:O26" si="11">+N23+N24+N25</f>
        <v>231.52600584999999</v>
      </c>
      <c r="O26" s="52">
        <f t="shared" si="11"/>
        <v>246.87337537000002</v>
      </c>
      <c r="P26" s="34">
        <f>+SUM(D26:O26)*0+3614.78288780727</f>
        <v>3614.7828878072701</v>
      </c>
      <c r="R26" s="14"/>
      <c r="S26" s="12">
        <f>+P26-'Consumo Aparente 2016'!R26</f>
        <v>-45.692173232730056</v>
      </c>
      <c r="U26" s="12"/>
      <c r="Y26" s="78"/>
    </row>
    <row r="27" spans="2:26" ht="18" customHeight="1" thickTop="1" thickBot="1">
      <c r="B27" s="260"/>
      <c r="C27" s="32" t="s">
        <v>156</v>
      </c>
      <c r="D27" s="35">
        <f>+(D26-'Consumo Aparente 2016'!D26)/'Consumo Aparente 2016'!D26</f>
        <v>-2.9178035171641786E-2</v>
      </c>
      <c r="E27" s="35">
        <f>+(E26-'Consumo Aparente 2016'!E26)/'Consumo Aparente 2016'!E26</f>
        <v>-0.17550211586874923</v>
      </c>
      <c r="F27" s="35">
        <f>+(F26-'Consumo Aparente 2016'!F26)/'Consumo Aparente 2016'!F26</f>
        <v>0.13963939233074205</v>
      </c>
      <c r="G27" s="35">
        <f>+(G26-'Consumo Aparente 2016'!G26)/'Consumo Aparente 2016'!G26</f>
        <v>8.5779632059903757E-2</v>
      </c>
      <c r="H27" s="35">
        <f>+(H26-'Consumo Aparente 2016'!H26)/'Consumo Aparente 2016'!H26</f>
        <v>-0.10897502924628848</v>
      </c>
      <c r="I27" s="35">
        <f>+(I26-'Consumo Aparente 2016'!I26)/'Consumo Aparente 2016'!I26</f>
        <v>-0.10100120762104553</v>
      </c>
      <c r="J27" s="35">
        <f>+(J26-'Consumo Aparente 2016'!J26)/'Consumo Aparente 2016'!J26</f>
        <v>0.23819846036886649</v>
      </c>
      <c r="K27" s="35">
        <f>+(K26-'Consumo Aparente 2016'!K26)/'Consumo Aparente 2016'!K26</f>
        <v>9.0402319874061887E-2</v>
      </c>
      <c r="L27" s="35">
        <f>+(L26-'Consumo Aparente 2016'!L26)/'Consumo Aparente 2016'!L26</f>
        <v>-2.4495362592976591E-2</v>
      </c>
      <c r="M27" s="35">
        <f>+(M26-'Consumo Aparente 2016'!M26)/'Consumo Aparente 2016'!M26</f>
        <v>-2.6610903518507457E-2</v>
      </c>
      <c r="N27" s="35">
        <f>+(N26-'Consumo Aparente 2016'!N26)/'Consumo Aparente 2016'!N26</f>
        <v>-0.2117909484219446</v>
      </c>
      <c r="O27" s="35">
        <f>+(O26-'Consumo Aparente 2016'!O26)/'Consumo Aparente 2016'!O26</f>
        <v>-0.21291111651657213</v>
      </c>
      <c r="P27" s="35">
        <f>+(P26-'Consumo Aparente 2016'!R26)/'Consumo Aparente 2016'!R26</f>
        <v>-1.2482580121649066E-2</v>
      </c>
      <c r="R27" s="14"/>
      <c r="Y27" s="78"/>
    </row>
    <row r="28" spans="2:26" s="3" customFormat="1" ht="18" customHeight="1" thickTop="1" thickBot="1">
      <c r="B28" s="260" t="s">
        <v>5</v>
      </c>
      <c r="C28" s="29" t="s">
        <v>65</v>
      </c>
      <c r="D28" s="34">
        <f>+'Producción Laminados 2017'!D23+'Impo 2017'!D28-'Expo 2017'!D28</f>
        <v>31.190181700000007</v>
      </c>
      <c r="E28" s="34">
        <f>+'Producción Laminados 2017'!E23+'Impo 2017'!E28-'Expo 2017'!E28</f>
        <v>25.179374329999995</v>
      </c>
      <c r="F28" s="34">
        <f>+'Producción Laminados 2017'!F23+'Impo 2017'!F28-'Expo 2017'!F28</f>
        <v>57.711153420000002</v>
      </c>
      <c r="G28" s="34">
        <f>+'Producción Laminados 2017'!G23+'Impo 2017'!G28-'Expo 2017'!G28</f>
        <v>27.089761820000003</v>
      </c>
      <c r="H28" s="34">
        <f>+'Producción Laminados 2017'!H23+'Impo 2017'!H28-'Expo 2017'!H28</f>
        <v>28.604471783538497</v>
      </c>
      <c r="I28" s="34">
        <f>+'Producción Laminados 2017'!I23+'Impo 2017'!I28-'Expo 2017'!I28</f>
        <v>46.326988730000011</v>
      </c>
      <c r="J28" s="34">
        <f>+'Producción Laminados 2017'!J23+'Impo 2017'!J28-'Expo 2017'!J28</f>
        <v>42.163281690000012</v>
      </c>
      <c r="K28" s="34">
        <f>+'Producción Laminados 2017'!K23+'Impo 2017'!K28-'Expo 2017'!K28</f>
        <v>34.259827859999987</v>
      </c>
      <c r="L28" s="34">
        <f>+'Producción Laminados 2017'!L23+'Impo 2017'!L28-'Expo 2017'!L28</f>
        <v>30.857302453538523</v>
      </c>
      <c r="M28" s="171">
        <f>+'Producción Laminados 2017'!M23+'Impo 2017'!M28-'Expo 2017'!M28</f>
        <v>39.504733503538496</v>
      </c>
      <c r="N28" s="171">
        <f>+'Producción Laminados 2017'!N23+'Impo 2017'!N28-'Expo 2017'!N28</f>
        <v>31.853040393538492</v>
      </c>
      <c r="O28" s="30">
        <f>+'Producción Laminados 2017'!O23+'Impo 2017'!O28-'Expo 2017'!O28</f>
        <v>33.890490572538496</v>
      </c>
      <c r="P28" s="34">
        <f>+SUM(D28:O28)</f>
        <v>428.63060825669248</v>
      </c>
      <c r="R28" s="44"/>
      <c r="S28" s="2"/>
      <c r="U28" s="2"/>
      <c r="Y28" s="79"/>
      <c r="Z28" s="83"/>
    </row>
    <row r="29" spans="2:26" s="3" customFormat="1" ht="18" customHeight="1" thickTop="1" thickBot="1">
      <c r="B29" s="260"/>
      <c r="C29" s="29" t="s">
        <v>59</v>
      </c>
      <c r="D29" s="34">
        <f>+'Producción Laminados 2017'!D24+'Impo 2017'!D29-'Expo 2017'!D29</f>
        <v>33.291971160000003</v>
      </c>
      <c r="E29" s="34">
        <f>+'Producción Laminados 2017'!E24+'Impo 2017'!E29-'Expo 2017'!E29</f>
        <v>45.304572990000054</v>
      </c>
      <c r="F29" s="34">
        <f>+'Producción Laminados 2017'!F24+'Impo 2017'!F29-'Expo 2017'!F29</f>
        <v>19.839126599999986</v>
      </c>
      <c r="G29" s="34">
        <f>+'Producción Laminados 2017'!G24+'Impo 2017'!G29-'Expo 2017'!G29</f>
        <v>35.404435630000009</v>
      </c>
      <c r="H29" s="34">
        <f>+'Producción Laminados 2017'!H24+'Impo 2017'!H29-'Expo 2017'!H29</f>
        <v>36.71986935061549</v>
      </c>
      <c r="I29" s="34">
        <f>+'Producción Laminados 2017'!I24+'Impo 2017'!I29-'Expo 2017'!I29</f>
        <v>38.586808920000003</v>
      </c>
      <c r="J29" s="34">
        <f>+'Producción Laminados 2017'!J24+'Impo 2017'!J29-'Expo 2017'!J29</f>
        <v>14.128761219999998</v>
      </c>
      <c r="K29" s="34">
        <f>+'Producción Laminados 2017'!K24+'Impo 2017'!K29-'Expo 2017'!K29</f>
        <v>27.040622669999998</v>
      </c>
      <c r="L29" s="34">
        <f>+'Producción Laminados 2017'!L24+'Impo 2017'!L29-'Expo 2017'!L29</f>
        <v>37.25348962061549</v>
      </c>
      <c r="M29" s="171">
        <f>+'Producción Laminados 2017'!M24+'Impo 2017'!M29-'Expo 2017'!M29</f>
        <v>35.734012810615489</v>
      </c>
      <c r="N29" s="171">
        <f>+'Producción Laminados 2017'!N24+'Impo 2017'!N29-'Expo 2017'!N29</f>
        <v>36.962741520615488</v>
      </c>
      <c r="O29" s="30">
        <f>+'Producción Laminados 2017'!O24+'Impo 2017'!O29-'Expo 2017'!O29</f>
        <v>35.135505370615491</v>
      </c>
      <c r="P29" s="34">
        <f t="shared" si="2"/>
        <v>395.40191786307753</v>
      </c>
      <c r="R29" s="44"/>
      <c r="S29" s="2"/>
      <c r="U29" s="2"/>
      <c r="Y29" s="79"/>
      <c r="Z29" s="83"/>
    </row>
    <row r="30" spans="2:26" s="3" customFormat="1" ht="18" customHeight="1" thickTop="1" thickBot="1">
      <c r="B30" s="260"/>
      <c r="C30" s="29" t="s">
        <v>60</v>
      </c>
      <c r="D30" s="34">
        <f>+'Producción Laminados 2017'!D25+'Impo 2017'!D30-'Expo 2017'!D30</f>
        <v>0.22276726000000008</v>
      </c>
      <c r="E30" s="34">
        <f>+'Producción Laminados 2017'!E25+'Impo 2017'!E30-'Expo 2017'!E30</f>
        <v>6.187108000000003E-2</v>
      </c>
      <c r="F30" s="34">
        <f>+'Producción Laminados 2017'!F25+'Impo 2017'!F30-'Expo 2017'!F30</f>
        <v>0.10082418999999998</v>
      </c>
      <c r="G30" s="34">
        <f>+'Producción Laminados 2017'!G25+'Impo 2017'!G30-'Expo 2017'!G30</f>
        <v>0.17730966000000001</v>
      </c>
      <c r="H30" s="34">
        <f>+'Producción Laminados 2017'!H25+'Impo 2017'!H30-'Expo 2017'!H30</f>
        <v>0.21011299999999999</v>
      </c>
      <c r="I30" s="34">
        <f>+'Producción Laminados 2017'!I25+'Impo 2017'!I30-'Expo 2017'!I30</f>
        <v>0.50371361999999975</v>
      </c>
      <c r="J30" s="34">
        <f>+'Producción Laminados 2017'!J25+'Impo 2017'!J30-'Expo 2017'!J30</f>
        <v>0.2897636600000002</v>
      </c>
      <c r="K30" s="34">
        <f>+'Producción Laminados 2017'!K25+'Impo 2017'!K30-'Expo 2017'!K30</f>
        <v>0.12411774999999985</v>
      </c>
      <c r="L30" s="34">
        <f>+'Producción Laminados 2017'!L25+'Impo 2017'!L30-'Expo 2017'!L30</f>
        <v>0.19647045999999974</v>
      </c>
      <c r="M30" s="171">
        <f>+'Producción Laminados 2017'!M25+'Impo 2017'!M30-'Expo 2017'!M30</f>
        <v>0.10274424</v>
      </c>
      <c r="N30" s="171">
        <f>+'Producción Laminados 2017'!N25+'Impo 2017'!N30-'Expo 2017'!N30</f>
        <v>0.33856104999999964</v>
      </c>
      <c r="O30" s="30">
        <f>+'Producción Laminados 2017'!O25+'Impo 2017'!O30-'Expo 2017'!O30</f>
        <v>0.18863406300000002</v>
      </c>
      <c r="P30" s="34">
        <f t="shared" si="2"/>
        <v>2.5168900329999992</v>
      </c>
      <c r="R30" s="44"/>
      <c r="S30" s="2"/>
      <c r="U30" s="2"/>
      <c r="Y30" s="79"/>
      <c r="Z30" s="83"/>
    </row>
    <row r="31" spans="2:26" s="3" customFormat="1" ht="18" customHeight="1" thickTop="1" thickBot="1">
      <c r="B31" s="260"/>
      <c r="C31" s="29" t="s">
        <v>139</v>
      </c>
      <c r="D31" s="52">
        <f t="shared" ref="D31:G31" si="12">+D28+D29+D30</f>
        <v>64.704920120000011</v>
      </c>
      <c r="E31" s="52">
        <f t="shared" si="12"/>
        <v>70.545818400000059</v>
      </c>
      <c r="F31" s="52">
        <f t="shared" si="12"/>
        <v>77.651104209999986</v>
      </c>
      <c r="G31" s="52">
        <f t="shared" si="12"/>
        <v>62.671507110000015</v>
      </c>
      <c r="H31" s="52">
        <f t="shared" ref="H31:M31" si="13">+H28+H29+H30</f>
        <v>65.534454134153989</v>
      </c>
      <c r="I31" s="52">
        <f t="shared" si="13"/>
        <v>85.41751127000002</v>
      </c>
      <c r="J31" s="52">
        <f t="shared" si="13"/>
        <v>56.581806570000005</v>
      </c>
      <c r="K31" s="52">
        <f t="shared" si="13"/>
        <v>61.424568279999981</v>
      </c>
      <c r="L31" s="52">
        <f t="shared" si="13"/>
        <v>68.307262534154006</v>
      </c>
      <c r="M31" s="52">
        <f t="shared" si="13"/>
        <v>75.341490554153992</v>
      </c>
      <c r="N31" s="52">
        <f t="shared" ref="N31:O31" si="14">+N28+N29+N30</f>
        <v>69.154342964153969</v>
      </c>
      <c r="O31" s="53">
        <f t="shared" si="14"/>
        <v>69.214630006153982</v>
      </c>
      <c r="P31" s="34">
        <f t="shared" si="2"/>
        <v>826.54941615277016</v>
      </c>
      <c r="R31" s="44"/>
      <c r="S31" s="12">
        <f>+P31-'Consumo Aparente 2016'!R31</f>
        <v>22.2609016709863</v>
      </c>
      <c r="T31" s="2">
        <f>+P31/11*12</f>
        <v>901.69027216665836</v>
      </c>
      <c r="U31" s="12"/>
      <c r="Y31" s="79"/>
      <c r="Z31" s="83"/>
    </row>
    <row r="32" spans="2:26" s="3" customFormat="1" ht="18" customHeight="1" thickTop="1" thickBot="1">
      <c r="B32" s="260"/>
      <c r="C32" s="32" t="s">
        <v>156</v>
      </c>
      <c r="D32" s="35">
        <f>+(D31-'Consumo Aparente 2016'!D31)/'Consumo Aparente 2016'!D31</f>
        <v>8.9876916942669374E-2</v>
      </c>
      <c r="E32" s="35">
        <f>+(E31-'Consumo Aparente 2016'!E31)/'Consumo Aparente 2016'!E31</f>
        <v>6.3297427881106955E-2</v>
      </c>
      <c r="F32" s="35">
        <f>+(F31-'Consumo Aparente 2016'!F31)/'Consumo Aparente 2016'!F31</f>
        <v>-3.7400495986747814E-2</v>
      </c>
      <c r="G32" s="35">
        <f>+(G31-'Consumo Aparente 2016'!G31)/'Consumo Aparente 2016'!G31</f>
        <v>0.27058394432624255</v>
      </c>
      <c r="H32" s="35">
        <f>+(H31-'Consumo Aparente 2016'!H31)/'Consumo Aparente 2016'!H31</f>
        <v>-7.868184312396229E-4</v>
      </c>
      <c r="I32" s="35">
        <f>+(I31-'Consumo Aparente 2016'!I31)/'Consumo Aparente 2016'!I31</f>
        <v>0.44580445468344132</v>
      </c>
      <c r="J32" s="35">
        <f>+(J31-'Consumo Aparente 2016'!J31)/'Consumo Aparente 2016'!J31</f>
        <v>-0.21487982827591745</v>
      </c>
      <c r="K32" s="35">
        <f>+(K31-'Consumo Aparente 2016'!K31)/'Consumo Aparente 2016'!K31</f>
        <v>-3.0082155253947727E-2</v>
      </c>
      <c r="L32" s="35">
        <f>+(L31-'Consumo Aparente 2016'!L31)/'Consumo Aparente 2016'!L31</f>
        <v>-0.15760216102815472</v>
      </c>
      <c r="M32" s="35">
        <f>+(M31-'Consumo Aparente 2016'!M31)/'Consumo Aparente 2016'!M31</f>
        <v>0.22529270145155653</v>
      </c>
      <c r="N32" s="35">
        <f>+(N31-'Consumo Aparente 2016'!N31)/'Consumo Aparente 2016'!N31</f>
        <v>7.8488744055197734E-2</v>
      </c>
      <c r="O32" s="37">
        <f>+(O31-'Consumo Aparente 2016'!O31)/'Consumo Aparente 2016'!O31</f>
        <v>-0.1540657680493521</v>
      </c>
      <c r="P32" s="35">
        <f>+(P31-'Consumo Aparente 2016'!R31)/'Consumo Aparente 2016'!R31</f>
        <v>2.7677756514189886E-2</v>
      </c>
      <c r="R32" s="44"/>
      <c r="S32" s="2"/>
      <c r="U32" s="2"/>
      <c r="Y32" s="79"/>
      <c r="Z32" s="83"/>
    </row>
    <row r="33" spans="2:26" s="3" customFormat="1" ht="18" customHeight="1" thickTop="1" thickBot="1">
      <c r="B33" s="260" t="s">
        <v>4</v>
      </c>
      <c r="C33" s="29" t="s">
        <v>65</v>
      </c>
      <c r="D33" s="34">
        <f>+'Producción Laminados 2017'!D33+'Impo 2017'!D33-'Expo 2017'!D33</f>
        <v>75.104289890000018</v>
      </c>
      <c r="E33" s="34">
        <f>+'Producción Laminados 2017'!E33+'Impo 2017'!E33-'Expo 2017'!E33</f>
        <v>72.569480610000014</v>
      </c>
      <c r="F33" s="34">
        <f>+'Producción Laminados 2017'!F33+'Impo 2017'!F33-'Expo 2017'!F33</f>
        <v>70.394171280000009</v>
      </c>
      <c r="G33" s="34">
        <f>+'Producción Laminados 2017'!G33+'Impo 2017'!G33-'Expo 2017'!G33</f>
        <v>71.770047990000009</v>
      </c>
      <c r="H33" s="34">
        <f>+'Producción Laminados 2017'!H33+'Impo 2017'!H33-'Expo 2017'!H33</f>
        <v>68.879838860000007</v>
      </c>
      <c r="I33" s="34">
        <f>+'Producción Laminados 2017'!I33+'Impo 2017'!I33-'Expo 2017'!I33</f>
        <v>74.790238079999995</v>
      </c>
      <c r="J33" s="34">
        <f>+'Producción Laminados 2017'!J33+'Impo 2017'!J33-'Expo 2017'!J33</f>
        <v>69.635470819999995</v>
      </c>
      <c r="K33" s="34">
        <f>+'Producción Laminados 2017'!K33+'Impo 2017'!K33-'Expo 2017'!K33</f>
        <v>74.984596350000004</v>
      </c>
      <c r="L33" s="34">
        <f>+'Producción Laminados 2017'!L33+'Impo 2017'!L33-'Expo 2017'!L33</f>
        <v>68.553054330000009</v>
      </c>
      <c r="M33" s="34">
        <f>+'Producción Laminados 2017'!M33+'Impo 2017'!M33-'Expo 2017'!M33</f>
        <v>59.500960460000002</v>
      </c>
      <c r="N33" s="34">
        <f>+'Producción Laminados 2017'!N33+'Impo 2017'!N33-'Expo 2017'!N33</f>
        <v>63.16905036</v>
      </c>
      <c r="O33" s="34">
        <f>+'Producción Laminados 2017'!O33+'Impo 2017'!O33-'Expo 2017'!O33</f>
        <v>63.45860038</v>
      </c>
      <c r="P33" s="34">
        <f>+SUM(D33:O33)</f>
        <v>832.80979941000021</v>
      </c>
      <c r="R33" s="44"/>
      <c r="S33" s="2"/>
      <c r="U33" s="2"/>
      <c r="Y33" s="79"/>
      <c r="Z33" s="83"/>
    </row>
    <row r="34" spans="2:26" s="3" customFormat="1" ht="18" customHeight="1" thickTop="1" thickBot="1">
      <c r="B34" s="260"/>
      <c r="C34" s="29" t="s">
        <v>59</v>
      </c>
      <c r="D34" s="34">
        <f>+'Producción Laminados 2017'!D34+'Impo 2017'!D34-'Expo 2017'!D34</f>
        <v>67.749695129999992</v>
      </c>
      <c r="E34" s="34">
        <f>+'Producción Laminados 2017'!E34+'Impo 2017'!E34-'Expo 2017'!E34</f>
        <v>56.424396519999995</v>
      </c>
      <c r="F34" s="34">
        <f>+'Producción Laminados 2017'!F34+'Impo 2017'!F34-'Expo 2017'!F34</f>
        <v>96.094976429999988</v>
      </c>
      <c r="G34" s="34">
        <f>+'Producción Laminados 2017'!G34+'Impo 2017'!G34-'Expo 2017'!G34</f>
        <v>78.878671550000035</v>
      </c>
      <c r="H34" s="34">
        <f>+'Producción Laminados 2017'!H34+'Impo 2017'!H34-'Expo 2017'!H34</f>
        <v>59.997672960000017</v>
      </c>
      <c r="I34" s="34">
        <f>+'Producción Laminados 2017'!I34+'Impo 2017'!I34-'Expo 2017'!I34</f>
        <v>84.241724250000019</v>
      </c>
      <c r="J34" s="34">
        <f>+'Producción Laminados 2017'!J34+'Impo 2017'!J34-'Expo 2017'!J34</f>
        <v>83.396809719999908</v>
      </c>
      <c r="K34" s="34">
        <f>+'Producción Laminados 2017'!K34+'Impo 2017'!K34-'Expo 2017'!K34</f>
        <v>77.185035479999883</v>
      </c>
      <c r="L34" s="34">
        <f>+'Producción Laminados 2017'!L34+'Impo 2017'!L34-'Expo 2017'!L34</f>
        <v>53.26256271999997</v>
      </c>
      <c r="M34" s="34">
        <f>+'Producción Laminados 2017'!M34+'Impo 2017'!M34-'Expo 2017'!M34</f>
        <v>65.592473640000009</v>
      </c>
      <c r="N34" s="34">
        <f>+'Producción Laminados 2017'!N34+'Impo 2017'!N34-'Expo 2017'!N34</f>
        <v>59.864964380000032</v>
      </c>
      <c r="O34" s="34">
        <f>+'Producción Laminados 2017'!O34+'Impo 2017'!O34-'Expo 2017'!O34</f>
        <v>53.408192130000003</v>
      </c>
      <c r="P34" s="34">
        <f t="shared" si="2"/>
        <v>836.09717490999981</v>
      </c>
      <c r="R34" s="44"/>
      <c r="S34" s="2"/>
      <c r="U34" s="2"/>
      <c r="Y34" s="79"/>
      <c r="Z34" s="83"/>
    </row>
    <row r="35" spans="2:26" s="3" customFormat="1" ht="18" customHeight="1" thickTop="1" thickBot="1">
      <c r="B35" s="260"/>
      <c r="C35" s="29" t="s">
        <v>60</v>
      </c>
      <c r="D35" s="34">
        <f>+'Producción Laminados 2017'!D35+'Impo 2017'!D35-'Expo 2017'!D35</f>
        <v>4.178057410000001</v>
      </c>
      <c r="E35" s="34">
        <f>+'Producción Laminados 2017'!E35+'Impo 2017'!E35-'Expo 2017'!E35</f>
        <v>4.9647022899999964</v>
      </c>
      <c r="F35" s="34">
        <f>+'Producción Laminados 2017'!F35+'Impo 2017'!F35-'Expo 2017'!F35</f>
        <v>9.4342249599999999</v>
      </c>
      <c r="G35" s="34">
        <f>+'Producción Laminados 2017'!G35+'Impo 2017'!G35-'Expo 2017'!G35</f>
        <v>9.4200138399999833</v>
      </c>
      <c r="H35" s="34">
        <f>+'Producción Laminados 2017'!H35+'Impo 2017'!H35-'Expo 2017'!H35</f>
        <v>6.8674807599999967</v>
      </c>
      <c r="I35" s="34">
        <f>+'Producción Laminados 2017'!I35+'Impo 2017'!I35-'Expo 2017'!I35</f>
        <v>3.7449748799999973</v>
      </c>
      <c r="J35" s="34">
        <f>+'Producción Laminados 2017'!J35+'Impo 2017'!J35-'Expo 2017'!J35</f>
        <v>5.5509338800000005</v>
      </c>
      <c r="K35" s="34">
        <f>+'Producción Laminados 2017'!K35+'Impo 2017'!K35-'Expo 2017'!K35</f>
        <v>6.5741979099999925</v>
      </c>
      <c r="L35" s="34">
        <f>+'Producción Laminados 2017'!L35+'Impo 2017'!L35-'Expo 2017'!L35</f>
        <v>1.5242208799999966</v>
      </c>
      <c r="M35" s="34">
        <f>+'Producción Laminados 2017'!M35+'Impo 2017'!M35-'Expo 2017'!M35</f>
        <v>5.6018191999999836</v>
      </c>
      <c r="N35" s="34">
        <f>+'Producción Laminados 2017'!N35+'Impo 2017'!N35-'Expo 2017'!N35</f>
        <v>1.1607839900000039</v>
      </c>
      <c r="O35" s="34">
        <f>+'Producción Laminados 2017'!O35+'Impo 2017'!O35-'Expo 2017'!O35</f>
        <v>5.0736555900000004</v>
      </c>
      <c r="P35" s="34">
        <f t="shared" si="2"/>
        <v>64.095065589999962</v>
      </c>
      <c r="R35" s="44"/>
      <c r="S35" s="2"/>
      <c r="U35" s="2"/>
      <c r="Y35" s="79"/>
      <c r="Z35" s="83"/>
    </row>
    <row r="36" spans="2:26" s="3" customFormat="1" ht="18" customHeight="1" thickTop="1" thickBot="1">
      <c r="B36" s="260"/>
      <c r="C36" s="29" t="s">
        <v>139</v>
      </c>
      <c r="D36" s="52">
        <f t="shared" ref="D36:G36" si="15">+D33+D34+D35</f>
        <v>147.03204243000002</v>
      </c>
      <c r="E36" s="52">
        <f t="shared" si="15"/>
        <v>133.95857942000001</v>
      </c>
      <c r="F36" s="52">
        <f t="shared" si="15"/>
        <v>175.92337266999999</v>
      </c>
      <c r="G36" s="52">
        <f t="shared" si="15"/>
        <v>160.06873338000005</v>
      </c>
      <c r="H36" s="52">
        <f t="shared" ref="H36:M36" si="16">+H33+H34+H35</f>
        <v>135.74499258000003</v>
      </c>
      <c r="I36" s="52">
        <f t="shared" si="16"/>
        <v>162.77693721</v>
      </c>
      <c r="J36" s="52">
        <f t="shared" si="16"/>
        <v>158.5832144199999</v>
      </c>
      <c r="K36" s="52">
        <f t="shared" si="16"/>
        <v>158.74382973999988</v>
      </c>
      <c r="L36" s="52">
        <f t="shared" si="16"/>
        <v>123.33983792999999</v>
      </c>
      <c r="M36" s="52">
        <f t="shared" si="16"/>
        <v>130.69525329999999</v>
      </c>
      <c r="N36" s="52">
        <f t="shared" ref="N36:O36" si="17">+N33+N34+N35</f>
        <v>124.19479873000003</v>
      </c>
      <c r="O36" s="52">
        <f t="shared" si="17"/>
        <v>121.94044810000001</v>
      </c>
      <c r="P36" s="34">
        <f t="shared" si="2"/>
        <v>1733.0020399099997</v>
      </c>
      <c r="R36" s="44"/>
      <c r="S36" s="12">
        <f>+P36-'Consumo Aparente 2016'!R36</f>
        <v>167.18642097601219</v>
      </c>
      <c r="T36" s="2">
        <f>+P36/11*12</f>
        <v>1890.5476799018179</v>
      </c>
      <c r="U36" s="12"/>
      <c r="Y36" s="79"/>
      <c r="Z36" s="83"/>
    </row>
    <row r="37" spans="2:26" s="3" customFormat="1" ht="18" customHeight="1" thickTop="1" thickBot="1">
      <c r="B37" s="260"/>
      <c r="C37" s="32" t="s">
        <v>156</v>
      </c>
      <c r="D37" s="35">
        <f>+(D36-'Consumo Aparente 2016'!D36)/'Consumo Aparente 2016'!D36</f>
        <v>4.1693710135382055E-2</v>
      </c>
      <c r="E37" s="35">
        <f>+(E36-'Consumo Aparente 2016'!E36)/'Consumo Aparente 2016'!E36</f>
        <v>-4.2151972494879716E-2</v>
      </c>
      <c r="F37" s="35">
        <f>+(F36-'Consumo Aparente 2016'!F36)/'Consumo Aparente 2016'!F36</f>
        <v>0.26683706159735449</v>
      </c>
      <c r="G37" s="35">
        <f>+(G36-'Consumo Aparente 2016'!G36)/'Consumo Aparente 2016'!G36</f>
        <v>0.44344394241001212</v>
      </c>
      <c r="H37" s="35">
        <f>+(H36-'Consumo Aparente 2016'!H36)/'Consumo Aparente 2016'!H36</f>
        <v>4.670277992766763E-2</v>
      </c>
      <c r="I37" s="35">
        <f>+(I36-'Consumo Aparente 2016'!I36)/'Consumo Aparente 2016'!I36</f>
        <v>0.54669372063386545</v>
      </c>
      <c r="J37" s="35">
        <f>+(J36-'Consumo Aparente 2016'!J36)/'Consumo Aparente 2016'!J36</f>
        <v>0.47581855824713182</v>
      </c>
      <c r="K37" s="35">
        <f>+(K36-'Consumo Aparente 2016'!K36)/'Consumo Aparente 2016'!K36</f>
        <v>0.25618090487077416</v>
      </c>
      <c r="L37" s="35">
        <f>+(L36-'Consumo Aparente 2016'!L36)/'Consumo Aparente 2016'!L36</f>
        <v>-0.1614609543761113</v>
      </c>
      <c r="M37" s="35">
        <f>+(M36-'Consumo Aparente 2016'!M36)/'Consumo Aparente 2016'!M36</f>
        <v>-8.6301606896923233E-2</v>
      </c>
      <c r="N37" s="35">
        <f>+(N36-'Consumo Aparente 2016'!N36)/'Consumo Aparente 2016'!N36</f>
        <v>-0.10236074989598382</v>
      </c>
      <c r="O37" s="35">
        <f>+(O36-'Consumo Aparente 2016'!O36)/'Consumo Aparente 2016'!O36</f>
        <v>-0.11517085920571828</v>
      </c>
      <c r="P37" s="35">
        <f>+(P36-'Consumo Aparente 2016'!R36)/'Consumo Aparente 2016'!R36</f>
        <v>0.10677273808894132</v>
      </c>
      <c r="R37" s="44"/>
      <c r="S37" s="2"/>
      <c r="U37" s="2"/>
      <c r="Y37" s="79"/>
      <c r="Z37" s="83"/>
    </row>
    <row r="38" spans="2:26" s="3" customFormat="1" ht="18" customHeight="1" thickTop="1" thickBot="1">
      <c r="B38" s="260" t="s">
        <v>10</v>
      </c>
      <c r="C38" s="29" t="s">
        <v>65</v>
      </c>
      <c r="D38" s="34">
        <f>+'Producción Laminados 2017'!D38+'Impo 2017'!D38-'Expo 2017'!D38</f>
        <v>19.506793790000003</v>
      </c>
      <c r="E38" s="34">
        <f>+'Producción Laminados 2017'!E38+'Impo 2017'!E38-'Expo 2017'!E38</f>
        <v>9.2533643499999982</v>
      </c>
      <c r="F38" s="34">
        <f>+'Producción Laminados 2017'!F38+'Impo 2017'!F38-'Expo 2017'!F38</f>
        <v>-1.0664136500000003</v>
      </c>
      <c r="G38" s="34">
        <f>+'Producción Laminados 2017'!G38+'Impo 2017'!G38-'Expo 2017'!G38</f>
        <v>12.447706110000002</v>
      </c>
      <c r="H38" s="34">
        <f>+'Producción Laminados 2017'!H38+'Impo 2017'!H38-'Expo 2017'!H38</f>
        <v>14.641991569999998</v>
      </c>
      <c r="I38" s="34">
        <f>+'Producción Laminados 2017'!I38+'Impo 2017'!I38-'Expo 2017'!I38</f>
        <v>10.309579899999999</v>
      </c>
      <c r="J38" s="34">
        <f>+'Producción Laminados 2017'!J38+'Impo 2017'!J38-'Expo 2017'!J38</f>
        <v>10.784469380000001</v>
      </c>
      <c r="K38" s="34">
        <f>+'Producción Laminados 2017'!K38+'Impo 2017'!K38-'Expo 2017'!K38</f>
        <v>14.460914320000001</v>
      </c>
      <c r="L38" s="34">
        <f>+'Producción Laminados 2017'!L38+'Impo 2017'!L38-'Expo 2017'!L38</f>
        <v>13.40290718</v>
      </c>
      <c r="M38" s="34">
        <f>+'Producción Laminados 2017'!M38+'Impo 2017'!M38-'Expo 2017'!M38</f>
        <v>27.093994980000002</v>
      </c>
      <c r="N38" s="34">
        <f>+'Producción Laminados 2017'!N38+'Impo 2017'!N38-'Expo 2017'!N38</f>
        <v>15.254191389999994</v>
      </c>
      <c r="O38" s="34">
        <f>+'Producción Laminados 2017'!O38+'Impo 2017'!O38-'Expo 2017'!O38</f>
        <v>9.4628708499999981</v>
      </c>
      <c r="P38" s="34">
        <f>+SUM(D38:O38)</f>
        <v>155.55237016999999</v>
      </c>
      <c r="R38" s="44"/>
      <c r="S38" s="2"/>
      <c r="U38" s="2"/>
      <c r="Y38" s="79"/>
      <c r="Z38" s="83"/>
    </row>
    <row r="39" spans="2:26" s="3" customFormat="1" ht="18" customHeight="1" thickTop="1" thickBot="1">
      <c r="B39" s="260"/>
      <c r="C39" s="29" t="s">
        <v>59</v>
      </c>
      <c r="D39" s="34">
        <f>+'Producción Laminados 2017'!D39+'Impo 2017'!D39-'Expo 2017'!D39</f>
        <v>25.051061159999996</v>
      </c>
      <c r="E39" s="34">
        <f>+'Producción Laminados 2017'!E39+'Impo 2017'!E39-'Expo 2017'!E39</f>
        <v>12.31682459000001</v>
      </c>
      <c r="F39" s="34">
        <f>+'Producción Laminados 2017'!F39+'Impo 2017'!F39-'Expo 2017'!F39</f>
        <v>-8.3512387200000031</v>
      </c>
      <c r="G39" s="34">
        <f>+'Producción Laminados 2017'!G39+'Impo 2017'!G39-'Expo 2017'!G39</f>
        <v>21.094345420000003</v>
      </c>
      <c r="H39" s="34">
        <f>+'Producción Laminados 2017'!H39+'Impo 2017'!H39-'Expo 2017'!H39</f>
        <v>12.773396999999999</v>
      </c>
      <c r="I39" s="34">
        <f>+'Producción Laminados 2017'!I39+'Impo 2017'!I39-'Expo 2017'!I39</f>
        <v>7.1506243700000001</v>
      </c>
      <c r="J39" s="34">
        <f>+'Producción Laminados 2017'!J39+'Impo 2017'!J39-'Expo 2017'!J39</f>
        <v>9.1905300200000006</v>
      </c>
      <c r="K39" s="34">
        <f>+'Producción Laminados 2017'!K39+'Impo 2017'!K39-'Expo 2017'!K39</f>
        <v>19.191034780000006</v>
      </c>
      <c r="L39" s="34">
        <f>+'Producción Laminados 2017'!L39+'Impo 2017'!L39-'Expo 2017'!L39</f>
        <v>6.896358269999995</v>
      </c>
      <c r="M39" s="34">
        <f>+'Producción Laminados 2017'!M39+'Impo 2017'!M39-'Expo 2017'!M39</f>
        <v>22.721811279999994</v>
      </c>
      <c r="N39" s="34">
        <f>+'Producción Laminados 2017'!N39+'Impo 2017'!N39-'Expo 2017'!N39</f>
        <v>8.9782550400000005</v>
      </c>
      <c r="O39" s="34">
        <f>+'Producción Laminados 2017'!O39+'Impo 2017'!O39-'Expo 2017'!O39</f>
        <v>10.850238945454542</v>
      </c>
      <c r="P39" s="34">
        <f t="shared" si="2"/>
        <v>147.86324215545454</v>
      </c>
      <c r="R39" s="44"/>
      <c r="S39" s="2"/>
      <c r="U39" s="2"/>
      <c r="Y39" s="79"/>
      <c r="Z39" s="83"/>
    </row>
    <row r="40" spans="2:26" s="3" customFormat="1" ht="18" customHeight="1" thickTop="1" thickBot="1">
      <c r="B40" s="260"/>
      <c r="C40" s="29" t="s">
        <v>60</v>
      </c>
      <c r="D40" s="34">
        <f>+'Producción Laminados 2017'!D40+'Impo 2017'!D40-'Expo 2017'!D40</f>
        <v>9.4754859999999996E-2</v>
      </c>
      <c r="E40" s="34">
        <f>+'Producción Laminados 2017'!E40+'Impo 2017'!E40-'Expo 2017'!E40</f>
        <v>0.11384867</v>
      </c>
      <c r="F40" s="34">
        <f>+'Producción Laminados 2017'!F40+'Impo 2017'!F40-'Expo 2017'!F40</f>
        <v>3.982463E-2</v>
      </c>
      <c r="G40" s="34">
        <f>+'Producción Laminados 2017'!G40+'Impo 2017'!G40-'Expo 2017'!G40</f>
        <v>4.2296820000000006E-2</v>
      </c>
      <c r="H40" s="34">
        <f>+'Producción Laminados 2017'!H40+'Impo 2017'!H40-'Expo 2017'!H40</f>
        <v>0.33459341999999997</v>
      </c>
      <c r="I40" s="34">
        <f>+'Producción Laminados 2017'!I40+'Impo 2017'!I40-'Expo 2017'!I40</f>
        <v>4.3547009999999997E-2</v>
      </c>
      <c r="J40" s="34">
        <f>+'Producción Laminados 2017'!J40+'Impo 2017'!J40-'Expo 2017'!J40</f>
        <v>9.3601400000000012E-3</v>
      </c>
      <c r="K40" s="34">
        <f>+'Producción Laminados 2017'!K40+'Impo 2017'!K40-'Expo 2017'!K40</f>
        <v>0.15493853000000002</v>
      </c>
      <c r="L40" s="52">
        <f>+'Producción Laminados 2017'!L40+'Impo 2017'!L40-'Expo 2017'!L40</f>
        <v>-1.1450389999999991E-2</v>
      </c>
      <c r="M40" s="52">
        <f>+'Producción Laminados 2017'!M40+'Impo 2017'!M40-'Expo 2017'!M40</f>
        <v>6.8279860000000012E-2</v>
      </c>
      <c r="N40" s="52">
        <f>+'Producción Laminados 2017'!N40+'Impo 2017'!N40-'Expo 2017'!N40</f>
        <v>7.6442460000000004E-2</v>
      </c>
      <c r="O40" s="52">
        <f>+'Producción Laminados 2017'!O40+'Impo 2017'!O40-'Expo 2017'!O40</f>
        <v>4.000295999999999E-2</v>
      </c>
      <c r="P40" s="34">
        <f t="shared" si="2"/>
        <v>1.0064389699999998</v>
      </c>
      <c r="R40" s="44"/>
      <c r="S40" s="2"/>
      <c r="U40" s="2"/>
      <c r="Y40" s="79"/>
      <c r="Z40" s="83"/>
    </row>
    <row r="41" spans="2:26" s="3" customFormat="1" ht="18" customHeight="1" thickTop="1" thickBot="1">
      <c r="B41" s="260"/>
      <c r="C41" s="29" t="s">
        <v>139</v>
      </c>
      <c r="D41" s="52">
        <f t="shared" ref="D41:G41" si="18">+D38+D39+D40</f>
        <v>44.652609810000001</v>
      </c>
      <c r="E41" s="52">
        <f t="shared" si="18"/>
        <v>21.684037610000008</v>
      </c>
      <c r="F41" s="52">
        <f t="shared" si="18"/>
        <v>-9.3778277400000025</v>
      </c>
      <c r="G41" s="52">
        <f t="shared" si="18"/>
        <v>33.584348350000006</v>
      </c>
      <c r="H41" s="52">
        <f t="shared" ref="H41:M41" si="19">+H38+H39+H40</f>
        <v>27.749981989999998</v>
      </c>
      <c r="I41" s="52">
        <f t="shared" si="19"/>
        <v>17.503751279999999</v>
      </c>
      <c r="J41" s="52">
        <f t="shared" si="19"/>
        <v>19.98435954</v>
      </c>
      <c r="K41" s="52">
        <f t="shared" si="19"/>
        <v>33.806887630000013</v>
      </c>
      <c r="L41" s="52">
        <f t="shared" si="19"/>
        <v>20.287815059999993</v>
      </c>
      <c r="M41" s="52">
        <f t="shared" si="19"/>
        <v>49.884086119999992</v>
      </c>
      <c r="N41" s="52">
        <f t="shared" ref="N41:O41" si="20">+N38+N39+N40</f>
        <v>24.308888889999995</v>
      </c>
      <c r="O41" s="52">
        <f t="shared" si="20"/>
        <v>20.353112755454539</v>
      </c>
      <c r="P41" s="34">
        <f t="shared" si="2"/>
        <v>304.42205129545454</v>
      </c>
      <c r="R41" s="44"/>
      <c r="S41" s="12">
        <f>+P41-'Consumo Aparente 2016'!R41</f>
        <v>-17.607809396853838</v>
      </c>
      <c r="T41" s="2">
        <f>+P41/11*12</f>
        <v>332.09678323140497</v>
      </c>
      <c r="U41" s="12"/>
      <c r="Y41" s="79"/>
      <c r="Z41" s="83"/>
    </row>
    <row r="42" spans="2:26" s="3" customFormat="1" ht="18" customHeight="1" thickTop="1" thickBot="1">
      <c r="B42" s="260"/>
      <c r="C42" s="32" t="s">
        <v>156</v>
      </c>
      <c r="D42" s="35">
        <f>+(D41-'Consumo Aparente 2016'!D41)/'Consumo Aparente 2016'!D41</f>
        <v>0.55486703291136685</v>
      </c>
      <c r="E42" s="35">
        <f>+(E41-'Consumo Aparente 2016'!E41)/'Consumo Aparente 2016'!E41</f>
        <v>-0.28423248679762436</v>
      </c>
      <c r="F42" s="35">
        <f>+(F41-'Consumo Aparente 2016'!F41)/'Consumo Aparente 2016'!F41</f>
        <v>-1.4324873883841012</v>
      </c>
      <c r="G42" s="35">
        <f>+(G41-'Consumo Aparente 2016'!G41)/'Consumo Aparente 2016'!G41</f>
        <v>0.45628103720870716</v>
      </c>
      <c r="H42" s="35">
        <f>+(H41-'Consumo Aparente 2016'!H41)/'Consumo Aparente 2016'!H41</f>
        <v>0.45226142179320866</v>
      </c>
      <c r="I42" s="35">
        <f>+(I41-'Consumo Aparente 2016'!I41)/'Consumo Aparente 2016'!I41</f>
        <v>-0.50767411152693864</v>
      </c>
      <c r="J42" s="35">
        <f>+(J41-'Consumo Aparente 2016'!J41)/'Consumo Aparente 2016'!J41</f>
        <v>-0.21661718254936907</v>
      </c>
      <c r="K42" s="35">
        <f>+(K41-'Consumo Aparente 2016'!K41)/'Consumo Aparente 2016'!K41</f>
        <v>-7.9647609058318788E-2</v>
      </c>
      <c r="L42" s="35">
        <f>+(L41-'Consumo Aparente 2016'!L41)/'Consumo Aparente 2016'!L41</f>
        <v>0.42747331187912585</v>
      </c>
      <c r="M42" s="35">
        <f>+(M41-'Consumo Aparente 2016'!M41)/'Consumo Aparente 2016'!M41</f>
        <v>0.42901920978020436</v>
      </c>
      <c r="N42" s="35">
        <f>+(N41-'Consumo Aparente 2016'!N41)/'Consumo Aparente 2016'!N41</f>
        <v>-0.21048768176328306</v>
      </c>
      <c r="O42" s="35">
        <f>+(O41-'Consumo Aparente 2016'!O41)/'Consumo Aparente 2016'!O41</f>
        <v>-5.1475361435644199E-2</v>
      </c>
      <c r="P42" s="35">
        <f>+(P41-'Consumo Aparente 2016'!R41)/'Consumo Aparente 2016'!R41</f>
        <v>-5.4677567350431729E-2</v>
      </c>
      <c r="R42" s="44"/>
      <c r="S42" s="2"/>
      <c r="U42" s="2"/>
      <c r="Y42" s="79"/>
      <c r="Z42" s="83"/>
    </row>
    <row r="43" spans="2:26" s="3" customFormat="1" ht="18" customHeight="1" thickTop="1" thickBot="1">
      <c r="B43" s="260" t="s">
        <v>11</v>
      </c>
      <c r="C43" s="29" t="s">
        <v>65</v>
      </c>
      <c r="D43" s="34">
        <f>+'Producción Laminados 2017'!D43+'Impo 2017'!D43-'Expo 2017'!D43</f>
        <v>42.940204000000001</v>
      </c>
      <c r="E43" s="34">
        <f>+'Producción Laminados 2017'!E43+'Impo 2017'!E43-'Expo 2017'!E43</f>
        <v>45.184798000000001</v>
      </c>
      <c r="F43" s="34">
        <f>+'Producción Laminados 2017'!F43+'Impo 2017'!F43-'Expo 2017'!F43</f>
        <v>33.456827999999994</v>
      </c>
      <c r="G43" s="34">
        <f>+'Producción Laminados 2017'!G43+'Impo 2017'!G43-'Expo 2017'!G43</f>
        <v>55.750418999999994</v>
      </c>
      <c r="H43" s="34">
        <f>+'Producción Laminados 2017'!H43+'Impo 2017'!H43-'Expo 2017'!H43</f>
        <v>35.920160000000003</v>
      </c>
      <c r="I43" s="34">
        <f>+'Producción Laminados 2017'!I43+'Impo 2017'!I43-'Expo 2017'!I43</f>
        <v>39.268605000000008</v>
      </c>
      <c r="J43" s="34">
        <f>+'Producción Laminados 2017'!J43+'Impo 2017'!J43-'Expo 2017'!J43</f>
        <v>46.447994000000001</v>
      </c>
      <c r="K43" s="34">
        <f>+'Producción Laminados 2017'!K43+'Impo 2017'!K43-'Expo 2017'!K43</f>
        <v>61.120286</v>
      </c>
      <c r="L43" s="34">
        <f>+'Producción Laminados 2017'!L43+'Impo 2017'!L43-'Expo 2017'!L43</f>
        <v>37.766611999999995</v>
      </c>
      <c r="M43" s="171">
        <f>+'Producción Laminados 2017'!M43+'Impo 2017'!M43-'Expo 2017'!M43</f>
        <v>49.712772999999999</v>
      </c>
      <c r="N43" s="171">
        <f>+'Producción Laminados 2017'!N43+'Impo 2017'!N43-'Expo 2017'!N43</f>
        <v>44.690982000000005</v>
      </c>
      <c r="O43" s="171">
        <f>+'Producción Laminados 2017'!O43+'Impo 2017'!O43-'Expo 2017'!O43</f>
        <v>49.964078000000001</v>
      </c>
      <c r="P43" s="34">
        <f>+SUM(D43:O43)</f>
        <v>542.22373900000014</v>
      </c>
      <c r="R43" s="44"/>
      <c r="S43" s="2"/>
      <c r="U43" s="2"/>
      <c r="Y43" s="79"/>
      <c r="Z43" s="83"/>
    </row>
    <row r="44" spans="2:26" s="3" customFormat="1" ht="18" customHeight="1" thickTop="1" thickBot="1">
      <c r="B44" s="260"/>
      <c r="C44" s="29" t="s">
        <v>59</v>
      </c>
      <c r="D44" s="34">
        <f>+'Producción Laminados 2017'!D44+'Impo 2017'!D44-'Expo 2017'!D44</f>
        <v>40.063254999999998</v>
      </c>
      <c r="E44" s="34">
        <f>+'Producción Laminados 2017'!E44+'Impo 2017'!E44-'Expo 2017'!E44</f>
        <v>4.1846860000000001</v>
      </c>
      <c r="F44" s="34">
        <f>+'Producción Laminados 2017'!F44+'Impo 2017'!F44-'Expo 2017'!F44</f>
        <v>33.803653000000004</v>
      </c>
      <c r="G44" s="34">
        <f>+'Producción Laminados 2017'!G44+'Impo 2017'!G44-'Expo 2017'!G44</f>
        <v>40.179576999999995</v>
      </c>
      <c r="H44" s="34">
        <f>+'Producción Laminados 2017'!H44+'Impo 2017'!H44-'Expo 2017'!H44</f>
        <v>30.213899000000001</v>
      </c>
      <c r="I44" s="34">
        <f>+'Producción Laminados 2017'!I44+'Impo 2017'!I44-'Expo 2017'!I44</f>
        <v>31.485263999999997</v>
      </c>
      <c r="J44" s="34">
        <f>+'Producción Laminados 2017'!J44+'Impo 2017'!J44-'Expo 2017'!J44</f>
        <v>51.678415000000001</v>
      </c>
      <c r="K44" s="34">
        <f>+'Producción Laminados 2017'!K44+'Impo 2017'!K44-'Expo 2017'!K44</f>
        <v>32.942447999999999</v>
      </c>
      <c r="L44" s="34">
        <f>+'Producción Laminados 2017'!L44+'Impo 2017'!L44-'Expo 2017'!L44</f>
        <v>22.661884999999998</v>
      </c>
      <c r="M44" s="171">
        <f>+'Producción Laminados 2017'!M44+'Impo 2017'!M44-'Expo 2017'!M44</f>
        <v>32.530714000000003</v>
      </c>
      <c r="N44" s="171">
        <f>+'Producción Laminados 2017'!N44+'Impo 2017'!N44-'Expo 2017'!N44</f>
        <v>22.586945</v>
      </c>
      <c r="O44" s="171">
        <f>+'Producción Laminados 2017'!O44+'Impo 2017'!O44-'Expo 2017'!O44</f>
        <v>25.724590999999997</v>
      </c>
      <c r="P44" s="34">
        <f t="shared" si="2"/>
        <v>368.05533199999996</v>
      </c>
      <c r="R44" s="44"/>
      <c r="S44" s="2"/>
      <c r="U44" s="2"/>
      <c r="Y44" s="79"/>
      <c r="Z44" s="83"/>
    </row>
    <row r="45" spans="2:26" s="3" customFormat="1" ht="18" customHeight="1" thickTop="1" thickBot="1">
      <c r="B45" s="260"/>
      <c r="C45" s="29" t="s">
        <v>60</v>
      </c>
      <c r="D45" s="34">
        <f>+'Producción Laminados 2017'!D45+'Impo 2017'!D45-'Expo 2017'!D45</f>
        <v>1.639038</v>
      </c>
      <c r="E45" s="34">
        <f>+'Producción Laminados 2017'!E45+'Impo 2017'!E45-'Expo 2017'!E45</f>
        <v>9.2057999999999973E-2</v>
      </c>
      <c r="F45" s="34">
        <f>+'Producción Laminados 2017'!F45+'Impo 2017'!F45-'Expo 2017'!F45</f>
        <v>0.13290799999999997</v>
      </c>
      <c r="G45" s="34">
        <f>+'Producción Laminados 2017'!G45+'Impo 2017'!G45-'Expo 2017'!G45</f>
        <v>0.69966399999999995</v>
      </c>
      <c r="H45" s="34">
        <f>+'Producción Laminados 2017'!H45+'Impo 2017'!H45-'Expo 2017'!H45</f>
        <v>-0.12580999999999998</v>
      </c>
      <c r="I45" s="34">
        <f>+'Producción Laminados 2017'!I45+'Impo 2017'!I45-'Expo 2017'!I45</f>
        <v>0.14382299999999998</v>
      </c>
      <c r="J45" s="34">
        <f>+'Producción Laminados 2017'!J45+'Impo 2017'!J45-'Expo 2017'!J45</f>
        <v>0.49860299999999996</v>
      </c>
      <c r="K45" s="34">
        <f>+'Producción Laminados 2017'!K45+'Impo 2017'!K45-'Expo 2017'!K45</f>
        <v>0.56125199999999997</v>
      </c>
      <c r="L45" s="34">
        <f>+'Producción Laminados 2017'!L45+'Impo 2017'!L45-'Expo 2017'!L45</f>
        <v>0.120396</v>
      </c>
      <c r="M45" s="171">
        <f>+'Producción Laminados 2017'!M45+'Impo 2017'!M45-'Expo 2017'!M45</f>
        <v>1.8292089999999999</v>
      </c>
      <c r="N45" s="171">
        <f>+'Producción Laminados 2017'!N45+'Impo 2017'!N45-'Expo 2017'!N45</f>
        <v>0.23087899999999997</v>
      </c>
      <c r="O45" s="171">
        <f>+'Producción Laminados 2017'!O45+'Impo 2017'!O45-'Expo 2017'!O45</f>
        <v>0.6683690000000001</v>
      </c>
      <c r="P45" s="34">
        <f t="shared" si="2"/>
        <v>6.4903889999999995</v>
      </c>
      <c r="R45" s="44"/>
      <c r="S45" s="2"/>
      <c r="U45" s="2"/>
      <c r="Y45" s="79"/>
      <c r="Z45" s="83"/>
    </row>
    <row r="46" spans="2:26" s="3" customFormat="1" ht="18" customHeight="1" thickTop="1" thickBot="1">
      <c r="B46" s="260"/>
      <c r="C46" s="29" t="s">
        <v>139</v>
      </c>
      <c r="D46" s="52">
        <f>+D43+D44+D45</f>
        <v>84.642496999999992</v>
      </c>
      <c r="E46" s="52">
        <f t="shared" ref="E46:G46" si="21">+E43+E44+E45</f>
        <v>49.461542000000001</v>
      </c>
      <c r="F46" s="52">
        <f t="shared" si="21"/>
        <v>67.393388999999999</v>
      </c>
      <c r="G46" s="52">
        <f t="shared" si="21"/>
        <v>96.629659999999987</v>
      </c>
      <c r="H46" s="52">
        <f t="shared" ref="H46:M46" si="22">+H43+H44+H45</f>
        <v>66.008249000000006</v>
      </c>
      <c r="I46" s="52">
        <f t="shared" si="22"/>
        <v>70.897692000000006</v>
      </c>
      <c r="J46" s="52">
        <f t="shared" si="22"/>
        <v>98.625011999999998</v>
      </c>
      <c r="K46" s="52">
        <f t="shared" si="22"/>
        <v>94.623986000000002</v>
      </c>
      <c r="L46" s="52">
        <f t="shared" si="22"/>
        <v>60.548892999999993</v>
      </c>
      <c r="M46" s="52">
        <f t="shared" si="22"/>
        <v>84.072696000000008</v>
      </c>
      <c r="N46" s="52">
        <f t="shared" ref="N46:O46" si="23">+N43+N44+N45</f>
        <v>67.508806000000007</v>
      </c>
      <c r="O46" s="52">
        <f t="shared" si="23"/>
        <v>76.357038000000003</v>
      </c>
      <c r="P46" s="34">
        <f t="shared" si="2"/>
        <v>916.76946000000009</v>
      </c>
      <c r="R46" s="44"/>
      <c r="S46" s="12">
        <f>+P46-'Consumo Aparente 2016'!R46</f>
        <v>-31.353719905265734</v>
      </c>
      <c r="T46" s="2">
        <f>+P46/11*12</f>
        <v>1000.1121381818182</v>
      </c>
      <c r="U46" s="12"/>
      <c r="Y46" s="79"/>
      <c r="Z46" s="83"/>
    </row>
    <row r="47" spans="2:26" s="3" customFormat="1" ht="18" customHeight="1" thickTop="1" thickBot="1">
      <c r="B47" s="260"/>
      <c r="C47" s="32" t="s">
        <v>156</v>
      </c>
      <c r="D47" s="35">
        <f>+(D46-'Consumo Aparente 2016'!D46)/'Consumo Aparente 2016'!D46</f>
        <v>-0.22150644745913578</v>
      </c>
      <c r="E47" s="35">
        <f>+(E46-'Consumo Aparente 2016'!E46)/'Consumo Aparente 2016'!E46</f>
        <v>-0.25828969913514388</v>
      </c>
      <c r="F47" s="35">
        <f>+(F46-'Consumo Aparente 2016'!F46)/'Consumo Aparente 2016'!F46</f>
        <v>5.8183231980441792E-2</v>
      </c>
      <c r="G47" s="35">
        <f>+(G46-'Consumo Aparente 2016'!G46)/'Consumo Aparente 2016'!G46</f>
        <v>0.44048548558903727</v>
      </c>
      <c r="H47" s="35">
        <f>+(H46-'Consumo Aparente 2016'!H46)/'Consumo Aparente 2016'!H46</f>
        <v>-0.13036124202135832</v>
      </c>
      <c r="I47" s="35">
        <f>+(I46-'Consumo Aparente 2016'!I46)/'Consumo Aparente 2016'!I46</f>
        <v>0.12731018658560897</v>
      </c>
      <c r="J47" s="35">
        <f>+(J46-'Consumo Aparente 2016'!J46)/'Consumo Aparente 2016'!J46</f>
        <v>0.12372663980290498</v>
      </c>
      <c r="K47" s="35">
        <f>+(K46-'Consumo Aparente 2016'!K46)/'Consumo Aparente 2016'!K46</f>
        <v>-0.11572528627439081</v>
      </c>
      <c r="L47" s="35">
        <f>+(L46-'Consumo Aparente 2016'!L46)/'Consumo Aparente 2016'!L46</f>
        <v>-0.19521503994743797</v>
      </c>
      <c r="M47" s="35">
        <f>+(M46-'Consumo Aparente 2016'!M46)/'Consumo Aparente 2016'!M46</f>
        <v>-3.894150006836089E-2</v>
      </c>
      <c r="N47" s="35">
        <f>+(N46-'Consumo Aparente 2016'!N46)/'Consumo Aparente 2016'!N46</f>
        <v>-0.21982305768620086</v>
      </c>
      <c r="O47" s="35">
        <f>+(O46-'Consumo Aparente 2016'!O46)/'Consumo Aparente 2016'!O46</f>
        <v>0.29135997675059788</v>
      </c>
      <c r="P47" s="35">
        <f>+(P46-'Consumo Aparente 2016'!R46)/'Consumo Aparente 2016'!R46</f>
        <v>-3.3069247298013027E-2</v>
      </c>
      <c r="R47" s="44"/>
      <c r="S47" s="2"/>
      <c r="U47" s="2"/>
      <c r="Y47" s="79"/>
      <c r="Z47" s="83"/>
    </row>
    <row r="48" spans="2:26" ht="18" customHeight="1" thickTop="1" thickBot="1">
      <c r="B48" s="260" t="s">
        <v>86</v>
      </c>
      <c r="C48" s="29" t="s">
        <v>65</v>
      </c>
      <c r="D48" s="34">
        <f>'Impo 2017'!D48-'Expo 2017'!D48</f>
        <v>6.4975748000000024</v>
      </c>
      <c r="E48" s="34">
        <f>'Impo 2017'!E48-'Expo 2017'!E48</f>
        <v>8.9439136500000025</v>
      </c>
      <c r="F48" s="34">
        <f>'Impo 2017'!F48-'Expo 2017'!F48</f>
        <v>8.7613189200000008</v>
      </c>
      <c r="G48" s="34">
        <f>'Impo 2017'!G48-'Expo 2017'!G48</f>
        <v>4.641299469999999</v>
      </c>
      <c r="H48" s="34">
        <f>'Impo 2017'!H48-'Expo 2017'!H48</f>
        <v>7.8646080700000001</v>
      </c>
      <c r="I48" s="34">
        <f>'Impo 2017'!I48-'Expo 2017'!I48</f>
        <v>7.1333445100000015</v>
      </c>
      <c r="J48" s="34">
        <f>'Impo 2017'!J48-'Expo 2017'!J48</f>
        <v>6.4828680800000056</v>
      </c>
      <c r="K48" s="34">
        <f>'Impo 2017'!K48-'Expo 2017'!K48</f>
        <v>6.6064830199999989</v>
      </c>
      <c r="L48" s="34">
        <f>'Impo 2017'!L48-'Expo 2017'!L48</f>
        <v>3.9419655699999989</v>
      </c>
      <c r="M48" s="34">
        <f>'Impo 2017'!M48-'Expo 2017'!M48</f>
        <v>8.4461884500000011</v>
      </c>
      <c r="N48" s="34">
        <f>'Impo 2017'!N48-'Expo 2017'!N48</f>
        <v>5.8687064399999986</v>
      </c>
      <c r="O48" s="171">
        <f>'Impo 2017'!O48-'Expo 2017'!O48</f>
        <v>6.4463184199999972</v>
      </c>
      <c r="P48" s="34">
        <f>+SUM(D48:O48)</f>
        <v>81.63458940000001</v>
      </c>
      <c r="R48" s="55"/>
      <c r="Y48" s="78"/>
    </row>
    <row r="49" spans="2:26" ht="18" customHeight="1" thickTop="1" thickBot="1">
      <c r="B49" s="260"/>
      <c r="C49" s="29" t="s">
        <v>59</v>
      </c>
      <c r="D49" s="34">
        <f>'Impo 2017'!D49-'Expo 2017'!D49</f>
        <v>7.8654224699999968</v>
      </c>
      <c r="E49" s="34">
        <f>'Impo 2017'!E49-'Expo 2017'!E49</f>
        <v>32.174273130000003</v>
      </c>
      <c r="F49" s="34">
        <f>'Impo 2017'!F49-'Expo 2017'!F49</f>
        <v>7.4074062999999981</v>
      </c>
      <c r="G49" s="34">
        <f>'Impo 2017'!G49-'Expo 2017'!G49</f>
        <v>20.065807900000003</v>
      </c>
      <c r="H49" s="34">
        <f>'Impo 2017'!H49-'Expo 2017'!H49</f>
        <v>16.467599770000003</v>
      </c>
      <c r="I49" s="34">
        <f>'Impo 2017'!I49-'Expo 2017'!I49</f>
        <v>25.708740429999995</v>
      </c>
      <c r="J49" s="34">
        <f>'Impo 2017'!J49-'Expo 2017'!J49</f>
        <v>12.643370300000001</v>
      </c>
      <c r="K49" s="34">
        <f>'Impo 2017'!K49-'Expo 2017'!K49</f>
        <v>19.541235029999999</v>
      </c>
      <c r="L49" s="34">
        <f>'Impo 2017'!L49-'Expo 2017'!L49</f>
        <v>33.035779230000003</v>
      </c>
      <c r="M49" s="34">
        <f>'Impo 2017'!M49-'Expo 2017'!M49</f>
        <v>23.886895939999995</v>
      </c>
      <c r="N49" s="34">
        <f>'Impo 2017'!N49-'Expo 2017'!N49</f>
        <v>26.598848410000002</v>
      </c>
      <c r="O49" s="171">
        <f>'Impo 2017'!O49-'Expo 2017'!O49</f>
        <v>15.203171960000001</v>
      </c>
      <c r="P49" s="34">
        <f t="shared" si="2"/>
        <v>240.59855086999997</v>
      </c>
      <c r="R49" s="55"/>
      <c r="Y49" s="78"/>
    </row>
    <row r="50" spans="2:26" ht="18" customHeight="1" thickTop="1" thickBot="1">
      <c r="B50" s="260"/>
      <c r="C50" s="29" t="s">
        <v>60</v>
      </c>
      <c r="D50" s="34">
        <f>'Impo 2017'!D50-'Expo 2017'!D50</f>
        <v>4.286062000000003E-2</v>
      </c>
      <c r="E50" s="34">
        <f>'Impo 2017'!E50-'Expo 2017'!E50</f>
        <v>2.0102599999999998E-3</v>
      </c>
      <c r="F50" s="34">
        <f>'Impo 2017'!F50-'Expo 2017'!F50</f>
        <v>0.50379481000000004</v>
      </c>
      <c r="G50" s="34">
        <f>'Impo 2017'!G50-'Expo 2017'!G50</f>
        <v>0.18888010999999999</v>
      </c>
      <c r="H50" s="34">
        <f>'Impo 2017'!H50-'Expo 2017'!H50</f>
        <v>0.19821027999999999</v>
      </c>
      <c r="I50" s="34">
        <f>'Impo 2017'!I50-'Expo 2017'!I50</f>
        <v>0.22633180000000003</v>
      </c>
      <c r="J50" s="34">
        <f>'Impo 2017'!J50-'Expo 2017'!J50</f>
        <v>7.4265310000000001E-2</v>
      </c>
      <c r="K50" s="34">
        <f>'Impo 2017'!K50-'Expo 2017'!K50</f>
        <v>0.14076689000000001</v>
      </c>
      <c r="L50" s="34">
        <f>'Impo 2017'!L50-'Expo 2017'!L50</f>
        <v>0.14931757000000001</v>
      </c>
      <c r="M50" s="34">
        <f>'Impo 2017'!M50-'Expo 2017'!M50</f>
        <v>6.0790920000000005E-2</v>
      </c>
      <c r="N50" s="34">
        <f>'Impo 2017'!N50-'Expo 2017'!N50</f>
        <v>0.13120038000000001</v>
      </c>
      <c r="O50" s="171">
        <f>'Impo 2017'!O50-'Expo 2017'!O50</f>
        <v>0.22645727000000002</v>
      </c>
      <c r="P50" s="34">
        <f t="shared" si="2"/>
        <v>1.9448862200000003</v>
      </c>
      <c r="R50" s="55"/>
      <c r="Y50" s="78"/>
    </row>
    <row r="51" spans="2:26" ht="18" customHeight="1" thickTop="1" thickBot="1">
      <c r="B51" s="260"/>
      <c r="C51" s="29" t="s">
        <v>139</v>
      </c>
      <c r="D51" s="52">
        <f>+D48+D49+D50</f>
        <v>14.40585789</v>
      </c>
      <c r="E51" s="52">
        <f t="shared" ref="E51:G51" si="24">+E48+E49+E50</f>
        <v>41.120197040000001</v>
      </c>
      <c r="F51" s="52">
        <f t="shared" si="24"/>
        <v>16.672520029999998</v>
      </c>
      <c r="G51" s="52">
        <f t="shared" si="24"/>
        <v>24.895987480000002</v>
      </c>
      <c r="H51" s="52">
        <f t="shared" ref="H51:M51" si="25">+H48+H49+H50</f>
        <v>24.530418120000004</v>
      </c>
      <c r="I51" s="52">
        <f t="shared" si="25"/>
        <v>33.068416739999996</v>
      </c>
      <c r="J51" s="52">
        <f t="shared" si="25"/>
        <v>19.200503690000009</v>
      </c>
      <c r="K51" s="52">
        <f t="shared" si="25"/>
        <v>26.288484939999996</v>
      </c>
      <c r="L51" s="52">
        <f t="shared" si="25"/>
        <v>37.127062370000004</v>
      </c>
      <c r="M51" s="52">
        <f t="shared" si="25"/>
        <v>32.393875309999999</v>
      </c>
      <c r="N51" s="52">
        <f t="shared" ref="N51:O51" si="26">+N48+N49+N50</f>
        <v>32.598755230000002</v>
      </c>
      <c r="O51" s="52">
        <f t="shared" si="26"/>
        <v>21.875947649999997</v>
      </c>
      <c r="P51" s="34">
        <f t="shared" si="2"/>
        <v>324.17802648999998</v>
      </c>
      <c r="Q51" s="4" t="s">
        <v>17</v>
      </c>
      <c r="R51" s="55"/>
      <c r="S51" s="12">
        <f>+P51-'Consumo Aparente 2016'!R51</f>
        <v>3.1193336899999053</v>
      </c>
      <c r="T51" s="2">
        <f>+P51/11*12</f>
        <v>353.64875617090905</v>
      </c>
      <c r="U51" s="12"/>
      <c r="Y51" s="78"/>
    </row>
    <row r="52" spans="2:26" ht="18" customHeight="1" thickTop="1" thickBot="1">
      <c r="B52" s="260"/>
      <c r="C52" s="32" t="s">
        <v>156</v>
      </c>
      <c r="D52" s="35">
        <f>+(D51-'Consumo Aparente 2016'!D51)/'Consumo Aparente 2016'!D51</f>
        <v>-0.21195564798873204</v>
      </c>
      <c r="E52" s="35">
        <f>+(E51-'Consumo Aparente 2016'!E51)/'Consumo Aparente 2016'!E51</f>
        <v>0.98601340341465826</v>
      </c>
      <c r="F52" s="35">
        <f>+(F51-'Consumo Aparente 2016'!F51)/'Consumo Aparente 2016'!F51</f>
        <v>-0.52673527630512718</v>
      </c>
      <c r="G52" s="35">
        <f>+(G51-'Consumo Aparente 2016'!G51)/'Consumo Aparente 2016'!G51</f>
        <v>-0.41462255928762526</v>
      </c>
      <c r="H52" s="35">
        <f>+(H51-'Consumo Aparente 2016'!H51)/'Consumo Aparente 2016'!H51</f>
        <v>0.55614564308672287</v>
      </c>
      <c r="I52" s="35">
        <f>+(I51-'Consumo Aparente 2016'!I51)/'Consumo Aparente 2016'!I51</f>
        <v>-0.21586808726931733</v>
      </c>
      <c r="J52" s="35">
        <f>+(J51-'Consumo Aparente 2016'!J51)/'Consumo Aparente 2016'!J51</f>
        <v>0.26930194196985358</v>
      </c>
      <c r="K52" s="35">
        <f>+(K51-'Consumo Aparente 2016'!K51)/'Consumo Aparente 2016'!K51</f>
        <v>0.13830514852347006</v>
      </c>
      <c r="L52" s="35">
        <f>+(L51-'Consumo Aparente 2016'!L51)/'Consumo Aparente 2016'!L51</f>
        <v>-0.19985811385588753</v>
      </c>
      <c r="M52" s="35">
        <f>+(M51-'Consumo Aparente 2016'!M51)/'Consumo Aparente 2016'!M51</f>
        <v>0.97549535428712997</v>
      </c>
      <c r="N52" s="35">
        <f>+(N51-'Consumo Aparente 2016'!N51)/'Consumo Aparente 2016'!N51</f>
        <v>0.28103081596464835</v>
      </c>
      <c r="O52" s="35">
        <f>+(O51-'Consumo Aparente 2016'!O51)/'Consumo Aparente 2016'!O51</f>
        <v>9.8620666700601364E-2</v>
      </c>
      <c r="P52" s="35">
        <f>+(P51-'Consumo Aparente 2016'!R51)/'Consumo Aparente 2016'!R51</f>
        <v>9.7157739689143364E-3</v>
      </c>
      <c r="R52" s="14"/>
      <c r="Y52" s="78"/>
    </row>
    <row r="53" spans="2:26" ht="18" customHeight="1" thickTop="1" thickBot="1">
      <c r="B53" s="260" t="s">
        <v>43</v>
      </c>
      <c r="C53" s="29" t="s">
        <v>65</v>
      </c>
      <c r="D53" s="171">
        <f>+'Producción Laminados 2017'!D48+'Impo 2017'!D53-'Expo 2017'!D53</f>
        <v>776.75582986200004</v>
      </c>
      <c r="E53" s="171">
        <f>+'Producción Laminados 2017'!E48+'Impo 2017'!E53-'Expo 2017'!E53</f>
        <v>747.43219722799995</v>
      </c>
      <c r="F53" s="171">
        <f>+'Producción Laminados 2017'!F48+'Impo 2017'!F53-'Expo 2017'!F53</f>
        <v>831.39399731999993</v>
      </c>
      <c r="G53" s="171">
        <f>+'Producción Laminados 2017'!G48+'Impo 2017'!G53-'Expo 2017'!G53</f>
        <v>716.79344803749996</v>
      </c>
      <c r="H53" s="171">
        <f>+'Producción Laminados 2017'!H48+'Impo 2017'!H53-'Expo 2017'!H53</f>
        <v>805.94431484029997</v>
      </c>
      <c r="I53" s="171">
        <f>+'Producción Laminados 2017'!I48+'Impo 2017'!I53-'Expo 2017'!I53</f>
        <v>801.9382141538</v>
      </c>
      <c r="J53" s="171">
        <f>+'Producción Laminados 2017'!J48+'Impo 2017'!J53-'Expo 2017'!J53</f>
        <v>736.81766302620997</v>
      </c>
      <c r="K53" s="171">
        <f>+'Producción Laminados 2017'!K48+'Impo 2017'!K53-'Expo 2017'!K53</f>
        <v>729.77408203920004</v>
      </c>
      <c r="L53" s="171">
        <f>+'Producción Laminados 2017'!L48+'Impo 2017'!L53-'Expo 2017'!L53</f>
        <v>747.3332783727999</v>
      </c>
      <c r="M53" s="171">
        <f>+'Producción Laminados 2017'!M48+'Impo 2017'!M53-'Expo 2017'!M53</f>
        <v>709.90516375560014</v>
      </c>
      <c r="N53" s="171">
        <f>+'Producción Laminados 2017'!N48+'Impo 2017'!N53-'Expo 2017'!N53</f>
        <v>708.16509765820001</v>
      </c>
      <c r="O53" s="171">
        <f>+'Producción Laminados 2017'!O48+'Impo 2017'!O53-'Expo 2017'!O53</f>
        <v>658.72770034209998</v>
      </c>
      <c r="P53" s="34">
        <f>+SUM(D53:O53)</f>
        <v>8970.98098663571</v>
      </c>
      <c r="R53" s="55"/>
      <c r="Y53" s="78"/>
    </row>
    <row r="54" spans="2:26" ht="18" customHeight="1" thickTop="1" thickBot="1">
      <c r="B54" s="260"/>
      <c r="C54" s="29" t="s">
        <v>59</v>
      </c>
      <c r="D54" s="171">
        <f>+'Producción Laminados 2017'!D49+'Impo 2017'!D54-'Expo 2017'!D54</f>
        <v>1477.8000845049999</v>
      </c>
      <c r="E54" s="171">
        <f>+'Producción Laminados 2017'!E49+'Impo 2017'!E54-'Expo 2017'!E54</f>
        <v>1261.1068334073</v>
      </c>
      <c r="F54" s="171">
        <f>+'Producción Laminados 2017'!F49+'Impo 2017'!F54-'Expo 2017'!F54</f>
        <v>1512.2169313079003</v>
      </c>
      <c r="G54" s="171">
        <f>+'Producción Laminados 2017'!G49+'Impo 2017'!G54-'Expo 2017'!G54</f>
        <v>1449.0146611218001</v>
      </c>
      <c r="H54" s="171">
        <f>+'Producción Laminados 2017'!H49+'Impo 2017'!H54-'Expo 2017'!H54</f>
        <v>1615.4526451675001</v>
      </c>
      <c r="I54" s="171">
        <f>+'Producción Laminados 2017'!I49+'Impo 2017'!I54-'Expo 2017'!I54</f>
        <v>1561.1321529793001</v>
      </c>
      <c r="J54" s="171">
        <f>+'Producción Laminados 2017'!J49+'Impo 2017'!J54-'Expo 2017'!J54</f>
        <v>1470.7864840765001</v>
      </c>
      <c r="K54" s="171">
        <f>+'Producción Laminados 2017'!K49+'Impo 2017'!K54-'Expo 2017'!K54</f>
        <v>1420.7579414283998</v>
      </c>
      <c r="L54" s="171">
        <f>+'Producción Laminados 2017'!L49+'Impo 2017'!L54-'Expo 2017'!L54</f>
        <v>1373.7694960941999</v>
      </c>
      <c r="M54" s="171">
        <f>+'Producción Laminados 2017'!M49+'Impo 2017'!M54-'Expo 2017'!M54</f>
        <v>1488.3880002024</v>
      </c>
      <c r="N54" s="171">
        <f>+'Producción Laminados 2017'!N49+'Impo 2017'!N54-'Expo 2017'!N54</f>
        <v>1280.6957997185998</v>
      </c>
      <c r="O54" s="171">
        <f>+'Producción Laminados 2017'!O49+'Impo 2017'!O54-'Expo 2017'!O54</f>
        <v>1310.70023277513</v>
      </c>
      <c r="P54" s="34">
        <f>+SUM(D54:O54)</f>
        <v>17221.821262784029</v>
      </c>
      <c r="R54" s="55"/>
      <c r="Y54" s="78"/>
    </row>
    <row r="55" spans="2:26" ht="18" customHeight="1" thickTop="1" thickBot="1">
      <c r="B55" s="260"/>
      <c r="C55" s="29" t="s">
        <v>60</v>
      </c>
      <c r="D55" s="171">
        <f>+'Producción Laminados 2017'!D50+'Impo 2017'!D55-'Expo 2017'!D55</f>
        <v>20.262495111999982</v>
      </c>
      <c r="E55" s="171">
        <f>+'Producción Laminados 2017'!E50+'Impo 2017'!E55-'Expo 2017'!E55</f>
        <v>1.3706791985999871</v>
      </c>
      <c r="F55" s="171">
        <f>+'Producción Laminados 2017'!F50+'Impo 2017'!F55-'Expo 2017'!F55</f>
        <v>22.421357838399999</v>
      </c>
      <c r="G55" s="171">
        <f>+'Producción Laminados 2017'!G50+'Impo 2017'!G55-'Expo 2017'!G55</f>
        <v>16.681331741999998</v>
      </c>
      <c r="H55" s="171">
        <f>+'Producción Laminados 2017'!H50+'Impo 2017'!H55-'Expo 2017'!H55</f>
        <v>16.017759034899996</v>
      </c>
      <c r="I55" s="171">
        <f>+'Producción Laminados 2017'!I50+'Impo 2017'!I55-'Expo 2017'!I55</f>
        <v>20.428950963800006</v>
      </c>
      <c r="J55" s="171">
        <f>+'Producción Laminados 2017'!J50+'Impo 2017'!J55-'Expo 2017'!J55</f>
        <v>17.570555098600003</v>
      </c>
      <c r="K55" s="171">
        <f>+'Producción Laminados 2017'!K50+'Impo 2017'!K55-'Expo 2017'!K55</f>
        <v>31.207999121</v>
      </c>
      <c r="L55" s="171">
        <f>+'Producción Laminados 2017'!L50+'Impo 2017'!L55-'Expo 2017'!L55</f>
        <v>25.180650825299992</v>
      </c>
      <c r="M55" s="171">
        <f>+'Producción Laminados 2017'!M50+'Impo 2017'!M55-'Expo 2017'!M55</f>
        <v>27.177930242999977</v>
      </c>
      <c r="N55" s="171">
        <f>+'Producción Laminados 2017'!N50+'Impo 2017'!N55-'Expo 2017'!N55</f>
        <v>7.8334073385000238</v>
      </c>
      <c r="O55" s="171">
        <f>+'Producción Laminados 2017'!O50+'Impo 2017'!O55-'Expo 2017'!O55</f>
        <v>30.988131743499991</v>
      </c>
      <c r="P55" s="34">
        <f>+SUM(D55:O55)</f>
        <v>237.14124825959999</v>
      </c>
      <c r="R55" s="55"/>
      <c r="Y55" s="78"/>
    </row>
    <row r="56" spans="2:26" ht="18" customHeight="1" thickTop="1" thickBot="1">
      <c r="B56" s="260"/>
      <c r="C56" s="29" t="s">
        <v>139</v>
      </c>
      <c r="D56" s="52">
        <f>+D53+D54+D55</f>
        <v>2274.8184094789999</v>
      </c>
      <c r="E56" s="52">
        <f t="shared" ref="E56:O56" si="27">+E53+E54+E55</f>
        <v>2009.9097098338998</v>
      </c>
      <c r="F56" s="52">
        <f t="shared" si="27"/>
        <v>2366.0322864663003</v>
      </c>
      <c r="G56" s="52">
        <f t="shared" si="27"/>
        <v>2182.4894409013004</v>
      </c>
      <c r="H56" s="52">
        <f t="shared" si="27"/>
        <v>2437.4147190426997</v>
      </c>
      <c r="I56" s="52">
        <f t="shared" si="27"/>
        <v>2383.4993180969004</v>
      </c>
      <c r="J56" s="52">
        <f t="shared" si="27"/>
        <v>2225.1747022013101</v>
      </c>
      <c r="K56" s="52">
        <f t="shared" si="27"/>
        <v>2181.7400225885999</v>
      </c>
      <c r="L56" s="52">
        <f t="shared" si="27"/>
        <v>2146.2834252922999</v>
      </c>
      <c r="M56" s="52">
        <f t="shared" si="27"/>
        <v>2225.4710942010001</v>
      </c>
      <c r="N56" s="52">
        <f t="shared" si="27"/>
        <v>1996.6943047152999</v>
      </c>
      <c r="O56" s="52">
        <f t="shared" si="27"/>
        <v>2000.4160648607299</v>
      </c>
      <c r="P56" s="34">
        <f>+SUM(D56:O56)</f>
        <v>26429.943497679335</v>
      </c>
      <c r="Q56" s="4" t="s">
        <v>17</v>
      </c>
      <c r="R56" s="55"/>
      <c r="S56" s="12">
        <f>+P56-'Consumo Aparente 2016'!R56</f>
        <v>942.86862294583261</v>
      </c>
      <c r="U56" s="12"/>
      <c r="Y56" s="78"/>
    </row>
    <row r="57" spans="2:26" ht="18" customHeight="1" thickTop="1" thickBot="1">
      <c r="B57" s="260"/>
      <c r="C57" s="32" t="s">
        <v>156</v>
      </c>
      <c r="D57" s="35">
        <f>+(D56-'Consumo Aparente 2016'!D56)/'Consumo Aparente 2016'!D56</f>
        <v>0.10162497654166174</v>
      </c>
      <c r="E57" s="35">
        <f>+(E56-'Consumo Aparente 2016'!E56)/'Consumo Aparente 2016'!E56</f>
        <v>3.5960148406739501E-2</v>
      </c>
      <c r="F57" s="35">
        <f>+(F56-'Consumo Aparente 2016'!F56)/'Consumo Aparente 2016'!F56</f>
        <v>0.13066790021046101</v>
      </c>
      <c r="G57" s="35">
        <f>+(G56-'Consumo Aparente 2016'!G56)/'Consumo Aparente 2016'!G56</f>
        <v>-1.7846272384045622E-2</v>
      </c>
      <c r="H57" s="35">
        <f>+(H56-'Consumo Aparente 2016'!H56)/'Consumo Aparente 2016'!H56</f>
        <v>0.17618647012629654</v>
      </c>
      <c r="I57" s="35">
        <f>+(I56-'Consumo Aparente 2016'!I56)/'Consumo Aparente 2016'!I56</f>
        <v>0.14478232386559267</v>
      </c>
      <c r="J57" s="35">
        <f>+(J56-'Consumo Aparente 2016'!J56)/'Consumo Aparente 2016'!J56</f>
        <v>3.1660016375729322E-2</v>
      </c>
      <c r="K57" s="35">
        <f>+(K56-'Consumo Aparente 2016'!K56)/'Consumo Aparente 2016'!K56</f>
        <v>2.7542575639420519E-3</v>
      </c>
      <c r="L57" s="35">
        <f>+(L56-'Consumo Aparente 2016'!L56)/'Consumo Aparente 2016'!L56</f>
        <v>-1.2616373351004785E-3</v>
      </c>
      <c r="M57" s="35">
        <f>+(M56-'Consumo Aparente 2016'!M56)/'Consumo Aparente 2016'!M56</f>
        <v>4.4627291557925493E-3</v>
      </c>
      <c r="N57" s="35">
        <f>+(N56-'Consumo Aparente 2016'!N56)/'Consumo Aparente 2016'!N56</f>
        <v>-0.1384776611516691</v>
      </c>
      <c r="O57" s="35">
        <f>+(O56-'Consumo Aparente 2016'!O56)/'Consumo Aparente 2016'!O56</f>
        <v>1.2005461190163504E-3</v>
      </c>
      <c r="P57" s="35">
        <f>+(P56-'Consumo Aparente 2016'!R56)/'Consumo Aparente 2016'!R56</f>
        <v>3.6993991173170732E-2</v>
      </c>
      <c r="R57" s="14"/>
      <c r="Y57" s="78"/>
    </row>
    <row r="58" spans="2:26" s="3" customFormat="1" ht="18" customHeight="1" thickTop="1" thickBot="1">
      <c r="B58" s="260" t="s">
        <v>71</v>
      </c>
      <c r="C58" s="29" t="s">
        <v>65</v>
      </c>
      <c r="D58" s="34">
        <f>'Impo 2017'!D58-'Expo 2017'!D58</f>
        <v>21.428457170000001</v>
      </c>
      <c r="E58" s="34">
        <f>'Impo 2017'!E58-'Expo 2017'!E58</f>
        <v>14.606867960000004</v>
      </c>
      <c r="F58" s="34">
        <f>'Impo 2017'!F58-'Expo 2017'!F58</f>
        <v>7.8571770100000027</v>
      </c>
      <c r="G58" s="34">
        <f>'Impo 2017'!G58-'Expo 2017'!G58</f>
        <v>42.946163890000001</v>
      </c>
      <c r="H58" s="34">
        <f>'Impo 2017'!H58-'Expo 2017'!H58</f>
        <v>29.125929129999996</v>
      </c>
      <c r="I58" s="34">
        <f>'Impo 2017'!I58-'Expo 2017'!I58</f>
        <v>5.1586157299999966</v>
      </c>
      <c r="J58" s="34">
        <f>'Impo 2017'!J58-'Expo 2017'!J58</f>
        <v>26.527785950000002</v>
      </c>
      <c r="K58" s="34">
        <f>'Impo 2017'!K58-'Expo 2017'!K58</f>
        <v>26.404941300000001</v>
      </c>
      <c r="L58" s="34">
        <f>'Impo 2017'!L58-'Expo 2017'!L58</f>
        <v>23.662079339999998</v>
      </c>
      <c r="M58" s="34">
        <f>'Impo 2017'!M58-'Expo 2017'!M58</f>
        <v>18.409238269999996</v>
      </c>
      <c r="N58" s="34">
        <f>'Impo 2017'!N58-'Expo 2017'!N58</f>
        <v>9.3666353599999965</v>
      </c>
      <c r="O58" s="34">
        <f>'Impo 2017'!O58-'Expo 2017'!O58</f>
        <v>26.960649680000007</v>
      </c>
      <c r="P58" s="34">
        <f>+SUM(D58:O58)</f>
        <v>252.45454079000001</v>
      </c>
      <c r="R58" s="44"/>
      <c r="S58" s="2"/>
      <c r="U58" s="2"/>
      <c r="Y58" s="79"/>
      <c r="Z58" s="83"/>
    </row>
    <row r="59" spans="2:26" s="3" customFormat="1" ht="18" customHeight="1" thickTop="1" thickBot="1">
      <c r="B59" s="260"/>
      <c r="C59" s="29" t="s">
        <v>59</v>
      </c>
      <c r="D59" s="34">
        <f>'Impo 2017'!D59-'Expo 2017'!D59</f>
        <v>21.919730839999996</v>
      </c>
      <c r="E59" s="34">
        <f>'Impo 2017'!E59-'Expo 2017'!E59</f>
        <v>5.2449186299999999</v>
      </c>
      <c r="F59" s="34">
        <f>'Impo 2017'!F59-'Expo 2017'!F59</f>
        <v>9.6550013699999973</v>
      </c>
      <c r="G59" s="34">
        <f>'Impo 2017'!G59-'Expo 2017'!G59</f>
        <v>21.496727809999999</v>
      </c>
      <c r="H59" s="34">
        <f>'Impo 2017'!H59-'Expo 2017'!H59</f>
        <v>12.61640897</v>
      </c>
      <c r="I59" s="34">
        <f>'Impo 2017'!I59-'Expo 2017'!I59</f>
        <v>26.865363429999995</v>
      </c>
      <c r="J59" s="34">
        <f>'Impo 2017'!J59-'Expo 2017'!J59</f>
        <v>39.095734409999991</v>
      </c>
      <c r="K59" s="34">
        <f>'Impo 2017'!K59-'Expo 2017'!K59</f>
        <v>16.260900420000002</v>
      </c>
      <c r="L59" s="34">
        <f>'Impo 2017'!L59-'Expo 2017'!L59</f>
        <v>4.4293460900000001</v>
      </c>
      <c r="M59" s="34">
        <f>'Impo 2017'!M59-'Expo 2017'!M59</f>
        <v>4.2274800999999993</v>
      </c>
      <c r="N59" s="34">
        <f>'Impo 2017'!N59-'Expo 2017'!N59</f>
        <v>15.567240369999999</v>
      </c>
      <c r="O59" s="34">
        <f>'Impo 2017'!O59-'Expo 2017'!O59</f>
        <v>2.0634161800000004</v>
      </c>
      <c r="P59" s="34">
        <f t="shared" si="2"/>
        <v>179.44226861999999</v>
      </c>
      <c r="R59" s="44"/>
      <c r="S59" s="2"/>
      <c r="U59" s="2"/>
      <c r="Y59" s="79"/>
      <c r="Z59" s="83"/>
    </row>
    <row r="60" spans="2:26" s="3" customFormat="1" ht="18" customHeight="1" thickTop="1" thickBot="1">
      <c r="B60" s="260"/>
      <c r="C60" s="29" t="s">
        <v>60</v>
      </c>
      <c r="D60" s="34">
        <f>'Impo 2017'!D60-'Expo 2017'!D60</f>
        <v>2.1058510000000003E-2</v>
      </c>
      <c r="E60" s="34">
        <f>'Impo 2017'!E60-'Expo 2017'!E60</f>
        <v>1.0508396300000002</v>
      </c>
      <c r="F60" s="34">
        <f>'Impo 2017'!F60-'Expo 2017'!F60</f>
        <v>0.6619595399999999</v>
      </c>
      <c r="G60" s="34">
        <f>'Impo 2017'!G60-'Expo 2017'!G60</f>
        <v>0.81588525000000012</v>
      </c>
      <c r="H60" s="34">
        <f>'Impo 2017'!H60-'Expo 2017'!H60</f>
        <v>0.87246995000000005</v>
      </c>
      <c r="I60" s="34">
        <f>'Impo 2017'!I60-'Expo 2017'!I60</f>
        <v>2.1468347600000008</v>
      </c>
      <c r="J60" s="34">
        <f>'Impo 2017'!J60-'Expo 2017'!J60</f>
        <v>3.0629887300000003</v>
      </c>
      <c r="K60" s="34">
        <f>'Impo 2017'!K60-'Expo 2017'!K60</f>
        <v>0.26420582999999997</v>
      </c>
      <c r="L60" s="52">
        <f>'Impo 2017'!L60-'Expo 2017'!L60</f>
        <v>-0.79609346000000003</v>
      </c>
      <c r="M60" s="52">
        <f>'Impo 2017'!M60-'Expo 2017'!M60</f>
        <v>1.0667282200000003</v>
      </c>
      <c r="N60" s="52">
        <f>'Impo 2017'!N60-'Expo 2017'!N60</f>
        <v>0.11517767999999995</v>
      </c>
      <c r="O60" s="52">
        <f>'Impo 2017'!O60-'Expo 2017'!O60</f>
        <v>-0.60868533000000002</v>
      </c>
      <c r="P60" s="34">
        <f t="shared" si="2"/>
        <v>8.6733693100000018</v>
      </c>
      <c r="R60" s="44"/>
      <c r="S60" s="2"/>
      <c r="U60" s="2"/>
      <c r="Y60" s="79"/>
      <c r="Z60" s="83"/>
    </row>
    <row r="61" spans="2:26" s="3" customFormat="1" ht="18" customHeight="1" thickTop="1" thickBot="1">
      <c r="B61" s="260"/>
      <c r="C61" s="29" t="s">
        <v>139</v>
      </c>
      <c r="D61" s="52">
        <f>+D58+D59+D60</f>
        <v>43.369246520000004</v>
      </c>
      <c r="E61" s="52">
        <f t="shared" ref="E61:G61" si="28">+E58+E59+E60</f>
        <v>20.902626220000002</v>
      </c>
      <c r="F61" s="52">
        <f t="shared" si="28"/>
        <v>18.174137920000003</v>
      </c>
      <c r="G61" s="52">
        <f t="shared" si="28"/>
        <v>65.258776949999998</v>
      </c>
      <c r="H61" s="52">
        <f t="shared" ref="H61:M61" si="29">+H58+H59+H60</f>
        <v>42.614808050000001</v>
      </c>
      <c r="I61" s="52">
        <f t="shared" si="29"/>
        <v>34.170813919999986</v>
      </c>
      <c r="J61" s="52">
        <f t="shared" si="29"/>
        <v>68.686509089999987</v>
      </c>
      <c r="K61" s="52">
        <f t="shared" si="29"/>
        <v>42.930047550000005</v>
      </c>
      <c r="L61" s="52">
        <f t="shared" si="29"/>
        <v>27.295331969999996</v>
      </c>
      <c r="M61" s="52">
        <f t="shared" si="29"/>
        <v>23.703446589999999</v>
      </c>
      <c r="N61" s="52">
        <f t="shared" ref="N61:O61" si="30">+N58+N59+N60</f>
        <v>25.049053409999996</v>
      </c>
      <c r="O61" s="52">
        <f t="shared" si="30"/>
        <v>28.415380530000007</v>
      </c>
      <c r="P61" s="34">
        <f t="shared" si="2"/>
        <v>440.57017871999994</v>
      </c>
      <c r="R61" s="44"/>
      <c r="S61" s="12">
        <f>+P61-'Consumo Aparente 2016'!R61</f>
        <v>-89.68939591000003</v>
      </c>
      <c r="T61" s="2">
        <f>+P61/11*12</f>
        <v>480.62201314909083</v>
      </c>
      <c r="U61" s="12"/>
      <c r="Y61" s="79"/>
      <c r="Z61" s="83"/>
    </row>
    <row r="62" spans="2:26" s="3" customFormat="1" ht="18" customHeight="1" thickTop="1" thickBot="1">
      <c r="B62" s="260"/>
      <c r="C62" s="32" t="s">
        <v>156</v>
      </c>
      <c r="D62" s="35">
        <f>+(D61-'Consumo Aparente 2016'!D61)/'Consumo Aparente 2016'!D61</f>
        <v>-0.17251370361338988</v>
      </c>
      <c r="E62" s="35">
        <f>+(E61-'Consumo Aparente 2016'!E61)/'Consumo Aparente 2016'!E61</f>
        <v>0.11481661644066585</v>
      </c>
      <c r="F62" s="35">
        <f>+(F61-'Consumo Aparente 2016'!F61)/'Consumo Aparente 2016'!F61</f>
        <v>-0.51473134009707022</v>
      </c>
      <c r="G62" s="35">
        <f>+(G61-'Consumo Aparente 2016'!G61)/'Consumo Aparente 2016'!G61</f>
        <v>0.8572056468071515</v>
      </c>
      <c r="H62" s="35">
        <f>+(H61-'Consumo Aparente 2016'!H61)/'Consumo Aparente 2016'!H61</f>
        <v>2.0391947168113274E-2</v>
      </c>
      <c r="I62" s="35">
        <f>+(I61-'Consumo Aparente 2016'!I61)/'Consumo Aparente 2016'!I61</f>
        <v>-0.11212096095871053</v>
      </c>
      <c r="J62" s="35">
        <f>+(J61-'Consumo Aparente 2016'!J61)/'Consumo Aparente 2016'!J61</f>
        <v>0.83071597541606934</v>
      </c>
      <c r="K62" s="35">
        <f>+(K61-'Consumo Aparente 2016'!K61)/'Consumo Aparente 2016'!K61</f>
        <v>-0.44047849795755017</v>
      </c>
      <c r="L62" s="35">
        <f>+(L61-'Consumo Aparente 2016'!L61)/'Consumo Aparente 2016'!L61</f>
        <v>-0.1682937725740003</v>
      </c>
      <c r="M62" s="35">
        <f>+(M61-'Consumo Aparente 2016'!M61)/'Consumo Aparente 2016'!M61</f>
        <v>-0.547775666583451</v>
      </c>
      <c r="N62" s="35">
        <f>+(N61-'Consumo Aparente 2016'!N61)/'Consumo Aparente 2016'!N61</f>
        <v>-0.39916255018733615</v>
      </c>
      <c r="O62" s="35">
        <f>+(O61-'Consumo Aparente 2016'!O61)/'Consumo Aparente 2016'!O61</f>
        <v>-0.56344975833120414</v>
      </c>
      <c r="P62" s="35">
        <f>+(P61-'Consumo Aparente 2016'!R61)/'Consumo Aparente 2016'!R61</f>
        <v>-0.16914243551864713</v>
      </c>
      <c r="R62" s="44"/>
      <c r="S62" s="2"/>
      <c r="U62" s="2"/>
      <c r="Y62" s="79"/>
      <c r="Z62" s="83"/>
    </row>
    <row r="63" spans="2:26" s="3" customFormat="1" ht="18" customHeight="1" thickTop="1" thickBot="1">
      <c r="B63" s="261" t="s">
        <v>6</v>
      </c>
      <c r="C63" s="29" t="s">
        <v>65</v>
      </c>
      <c r="D63" s="34">
        <f>+'Producción Laminados 2017'!D53+'Impo 2017'!D63-'Expo 2017'!D63</f>
        <v>12.82776048</v>
      </c>
      <c r="E63" s="34">
        <f>+'Producción Laminados 2017'!E53+'Impo 2017'!E63-'Expo 2017'!E63</f>
        <v>11.156729689999999</v>
      </c>
      <c r="F63" s="34">
        <f>+'Producción Laminados 2017'!F53+'Impo 2017'!F63-'Expo 2017'!F63</f>
        <v>8.44308646</v>
      </c>
      <c r="G63" s="34">
        <f>+'Producción Laminados 2017'!G53+'Impo 2017'!G63-'Expo 2017'!G63</f>
        <v>8.4934235399999984</v>
      </c>
      <c r="H63" s="34">
        <f>+'Producción Laminados 2017'!H53+'Impo 2017'!H63-'Expo 2017'!H63</f>
        <v>8.4888471400000007</v>
      </c>
      <c r="I63" s="34">
        <f>+'Producción Laminados 2017'!I53+'Impo 2017'!I63-'Expo 2017'!I63</f>
        <v>12.050631010000002</v>
      </c>
      <c r="J63" s="34">
        <f>+'Producción Laminados 2017'!J53+'Impo 2017'!J63-'Expo 2017'!J63</f>
        <v>1.6175520000000001</v>
      </c>
      <c r="K63" s="34">
        <f>+'Producción Laminados 2017'!K53+'Impo 2017'!K63-'Expo 2017'!K63</f>
        <v>13.411660719999999</v>
      </c>
      <c r="L63" s="34">
        <f>+'Producción Laminados 2017'!L53+'Impo 2017'!L63-'Expo 2017'!L63</f>
        <v>10.69863183</v>
      </c>
      <c r="M63" s="34">
        <f>+'Producción Laminados 2017'!M53+'Impo 2017'!M63-'Expo 2017'!M63</f>
        <v>9.0160666799999998</v>
      </c>
      <c r="N63" s="34">
        <f>+'Producción Laminados 2017'!N53+'Impo 2017'!N63-'Expo 2017'!N63</f>
        <v>8.0208901200000007</v>
      </c>
      <c r="O63" s="34">
        <f>+'Producción Laminados 2017'!O53+'Impo 2017'!O63-'Expo 2017'!O63</f>
        <v>8.9421515899999999</v>
      </c>
      <c r="P63" s="34">
        <f>+SUM(D63:O63)</f>
        <v>113.16743126</v>
      </c>
      <c r="R63" s="44"/>
      <c r="S63" s="2"/>
      <c r="U63" s="2"/>
      <c r="Y63" s="79"/>
      <c r="Z63" s="83"/>
    </row>
    <row r="64" spans="2:26" s="3" customFormat="1" ht="18" customHeight="1" thickTop="1" thickBot="1">
      <c r="B64" s="261"/>
      <c r="C64" s="29" t="s">
        <v>59</v>
      </c>
      <c r="D64" s="34">
        <f>+'Producción Laminados 2017'!D54+'Impo 2017'!D64-'Expo 2017'!D64</f>
        <v>14.28208916</v>
      </c>
      <c r="E64" s="34">
        <f>+'Producción Laminados 2017'!E54+'Impo 2017'!E64-'Expo 2017'!E64</f>
        <v>17.818396019999998</v>
      </c>
      <c r="F64" s="34">
        <f>+'Producción Laminados 2017'!F54+'Impo 2017'!F64-'Expo 2017'!F64</f>
        <v>18.371743250000005</v>
      </c>
      <c r="G64" s="34">
        <f>+'Producción Laminados 2017'!G54+'Impo 2017'!G64-'Expo 2017'!G64</f>
        <v>11.083624649999999</v>
      </c>
      <c r="H64" s="34">
        <f>+'Producción Laminados 2017'!H54+'Impo 2017'!H64-'Expo 2017'!H64</f>
        <v>22.067318889999999</v>
      </c>
      <c r="I64" s="34">
        <f>+'Producción Laminados 2017'!I54+'Impo 2017'!I64-'Expo 2017'!I64</f>
        <v>22.153415239999998</v>
      </c>
      <c r="J64" s="34">
        <f>+'Producción Laminados 2017'!J54+'Impo 2017'!J64-'Expo 2017'!J64</f>
        <v>1.9709000000000001E-2</v>
      </c>
      <c r="K64" s="34">
        <f>+'Producción Laminados 2017'!K54+'Impo 2017'!K64-'Expo 2017'!K64</f>
        <v>22.238365469999994</v>
      </c>
      <c r="L64" s="34">
        <f>+'Producción Laminados 2017'!L54+'Impo 2017'!L64-'Expo 2017'!L64</f>
        <v>21.601015969999992</v>
      </c>
      <c r="M64" s="34">
        <f>+'Producción Laminados 2017'!M54+'Impo 2017'!M64-'Expo 2017'!M64</f>
        <v>18.052911470000002</v>
      </c>
      <c r="N64" s="34">
        <f>+'Producción Laminados 2017'!N54+'Impo 2017'!N64-'Expo 2017'!N64</f>
        <v>22.490592649999996</v>
      </c>
      <c r="O64" s="34">
        <f>+'Producción Laminados 2017'!O54+'Impo 2017'!O64-'Expo 2017'!O64</f>
        <v>18.328857620000001</v>
      </c>
      <c r="P64" s="34">
        <f t="shared" si="2"/>
        <v>208.50803938999999</v>
      </c>
      <c r="R64" s="44"/>
      <c r="S64" s="2"/>
      <c r="U64" s="2"/>
      <c r="Y64" s="79"/>
      <c r="Z64" s="83"/>
    </row>
    <row r="65" spans="2:26" s="3" customFormat="1" ht="18" customHeight="1" thickTop="1" thickBot="1">
      <c r="B65" s="261"/>
      <c r="C65" s="29" t="s">
        <v>60</v>
      </c>
      <c r="D65" s="34">
        <f>+'Producción Laminados 2017'!D55+'Impo 2017'!D65-'Expo 2017'!D65</f>
        <v>4.5300230000000004E-2</v>
      </c>
      <c r="E65" s="34">
        <f>+'Producción Laminados 2017'!E55+'Impo 2017'!E65-'Expo 2017'!E65</f>
        <v>9.6059449999999991E-2</v>
      </c>
      <c r="F65" s="34">
        <f>+'Producción Laminados 2017'!F55+'Impo 2017'!F65-'Expo 2017'!F65</f>
        <v>0.26595125999999997</v>
      </c>
      <c r="G65" s="34">
        <f>+'Producción Laminados 2017'!G55+'Impo 2017'!G65-'Expo 2017'!G65</f>
        <v>0.1169796</v>
      </c>
      <c r="H65" s="34">
        <f>+'Producción Laminados 2017'!H55+'Impo 2017'!H65-'Expo 2017'!H65</f>
        <v>0.56554461</v>
      </c>
      <c r="I65" s="34">
        <f>+'Producción Laminados 2017'!I55+'Impo 2017'!I65-'Expo 2017'!I65</f>
        <v>0.25700690000000004</v>
      </c>
      <c r="J65" s="34">
        <f>+'Producción Laminados 2017'!J55+'Impo 2017'!J65-'Expo 2017'!J65</f>
        <v>4.764E-3</v>
      </c>
      <c r="K65" s="34">
        <f>+'Producción Laminados 2017'!K55+'Impo 2017'!K65-'Expo 2017'!K65</f>
        <v>0.42460429</v>
      </c>
      <c r="L65" s="52">
        <f>+'Producción Laminados 2017'!L55+'Impo 2017'!L65-'Expo 2017'!L65</f>
        <v>0.23784369000000002</v>
      </c>
      <c r="M65" s="52">
        <f>+'Producción Laminados 2017'!M55+'Impo 2017'!M65-'Expo 2017'!M65</f>
        <v>0.36818252000000001</v>
      </c>
      <c r="N65" s="52">
        <f>+'Producción Laminados 2017'!N55+'Impo 2017'!N65-'Expo 2017'!N65</f>
        <v>0.69631585000000007</v>
      </c>
      <c r="O65" s="52">
        <f>+'Producción Laminados 2017'!O55+'Impo 2017'!O65-'Expo 2017'!O65</f>
        <v>0.60974262999999995</v>
      </c>
      <c r="P65" s="34">
        <f t="shared" si="2"/>
        <v>3.6882950299999995</v>
      </c>
      <c r="R65" s="44"/>
      <c r="S65" s="2"/>
      <c r="U65" s="2"/>
      <c r="Y65" s="79"/>
      <c r="Z65" s="83"/>
    </row>
    <row r="66" spans="2:26" s="3" customFormat="1" ht="18" customHeight="1" thickTop="1" thickBot="1">
      <c r="B66" s="261"/>
      <c r="C66" s="29" t="s">
        <v>139</v>
      </c>
      <c r="D66" s="52">
        <f>+D63+D64+D65</f>
        <v>27.155149869999999</v>
      </c>
      <c r="E66" s="52">
        <f t="shared" ref="E66:G66" si="31">+E63+E64+E65</f>
        <v>29.071185159999995</v>
      </c>
      <c r="F66" s="52">
        <f t="shared" si="31"/>
        <v>27.080780970000006</v>
      </c>
      <c r="G66" s="52">
        <f t="shared" si="31"/>
        <v>19.69402779</v>
      </c>
      <c r="H66" s="52">
        <f t="shared" ref="H66:M66" si="32">+H63+H64+H65</f>
        <v>31.12171064</v>
      </c>
      <c r="I66" s="52">
        <f t="shared" si="32"/>
        <v>34.461053149999998</v>
      </c>
      <c r="J66" s="52">
        <f t="shared" si="32"/>
        <v>1.6420250000000001</v>
      </c>
      <c r="K66" s="52">
        <f t="shared" si="32"/>
        <v>36.074630479999989</v>
      </c>
      <c r="L66" s="52">
        <f t="shared" si="32"/>
        <v>32.537491489999987</v>
      </c>
      <c r="M66" s="52">
        <f t="shared" si="32"/>
        <v>27.437160670000001</v>
      </c>
      <c r="N66" s="52">
        <f t="shared" ref="N66:O66" si="33">+N63+N64+N65</f>
        <v>31.207798619999998</v>
      </c>
      <c r="O66" s="52">
        <f t="shared" si="33"/>
        <v>27.880751840000002</v>
      </c>
      <c r="P66" s="34">
        <f t="shared" si="2"/>
        <v>325.36376568000003</v>
      </c>
      <c r="R66" s="44"/>
      <c r="S66" s="12">
        <f>+P66-'Consumo Aparente 2016'!R66</f>
        <v>18.509310351170484</v>
      </c>
      <c r="T66" s="2">
        <f>+P66/11*12</f>
        <v>354.94228983272728</v>
      </c>
      <c r="U66" s="12"/>
      <c r="Y66" s="79"/>
      <c r="Z66" s="83"/>
    </row>
    <row r="67" spans="2:26" s="3" customFormat="1" ht="18" customHeight="1" thickTop="1" thickBot="1">
      <c r="B67" s="261"/>
      <c r="C67" s="32" t="s">
        <v>156</v>
      </c>
      <c r="D67" s="35">
        <f>+(D66-'Consumo Aparente 2016'!D66)/'Consumo Aparente 2016'!D66</f>
        <v>0.78531509324946591</v>
      </c>
      <c r="E67" s="35">
        <f>+(E66-'Consumo Aparente 2016'!E66)/'Consumo Aparente 2016'!E66</f>
        <v>0.24879809070446338</v>
      </c>
      <c r="F67" s="35">
        <f>+(F66-'Consumo Aparente 2016'!F66)/'Consumo Aparente 2016'!F66</f>
        <v>0.15266180033175367</v>
      </c>
      <c r="G67" s="35">
        <f>+(G66-'Consumo Aparente 2016'!G66)/'Consumo Aparente 2016'!G66</f>
        <v>-7.703706881564092E-3</v>
      </c>
      <c r="H67" s="35">
        <f>+(H66-'Consumo Aparente 2016'!H66)/'Consumo Aparente 2016'!H66</f>
        <v>0.20209554484577172</v>
      </c>
      <c r="I67" s="35">
        <f>+(I66-'Consumo Aparente 2016'!I66)/'Consumo Aparente 2016'!I66</f>
        <v>0.11552708831525696</v>
      </c>
      <c r="J67" s="35">
        <f>+(J66-'Consumo Aparente 2016'!J66)/'Consumo Aparente 2016'!J66</f>
        <v>-0.90716732004031708</v>
      </c>
      <c r="K67" s="35">
        <f>+(K66-'Consumo Aparente 2016'!K66)/'Consumo Aparente 2016'!K66</f>
        <v>2.0387348837749095E-2</v>
      </c>
      <c r="L67" s="35">
        <f>+(L66-'Consumo Aparente 2016'!L66)/'Consumo Aparente 2016'!L66</f>
        <v>0.4931059465910631</v>
      </c>
      <c r="M67" s="35">
        <f>+(M66-'Consumo Aparente 2016'!M66)/'Consumo Aparente 2016'!M66</f>
        <v>2.8343931980815688E-2</v>
      </c>
      <c r="N67" s="35">
        <f>+(N66-'Consumo Aparente 2016'!N66)/'Consumo Aparente 2016'!N66</f>
        <v>-2.6385534399409064E-2</v>
      </c>
      <c r="O67" s="35">
        <f>+(O66-'Consumo Aparente 2016'!O66)/'Consumo Aparente 2016'!O66</f>
        <v>-0.19591585520716376</v>
      </c>
      <c r="P67" s="35">
        <f>+(P66-'Consumo Aparente 2016'!R66)/'Consumo Aparente 2016'!R66</f>
        <v>6.0319509884044692E-2</v>
      </c>
      <c r="R67" s="44"/>
      <c r="S67" s="2"/>
      <c r="U67" s="2"/>
      <c r="Y67" s="79"/>
      <c r="Z67" s="83"/>
    </row>
    <row r="68" spans="2:26" s="3" customFormat="1" ht="18" customHeight="1" thickTop="1" thickBot="1">
      <c r="B68" s="261" t="s">
        <v>44</v>
      </c>
      <c r="C68" s="29" t="s">
        <v>65</v>
      </c>
      <c r="D68" s="34">
        <f>+'Producción Laminados 2017'!D58+'Impo 2017'!D68-'Expo 2017'!D68</f>
        <v>177.39245688796547</v>
      </c>
      <c r="E68" s="34">
        <f>+'Producción Laminados 2017'!E58+'Impo 2017'!E68-'Expo 2017'!E68</f>
        <v>158.18254893296537</v>
      </c>
      <c r="F68" s="34">
        <f>+'Producción Laminados 2017'!F58+'Impo 2017'!F68-'Expo 2017'!F68</f>
        <v>179.62403538496557</v>
      </c>
      <c r="G68" s="34">
        <f>+'Producción Laminados 2017'!G58+'Impo 2017'!G68-'Expo 2017'!G68</f>
        <v>200.40545863439687</v>
      </c>
      <c r="H68" s="34">
        <f>+'Producción Laminados 2017'!H58+'Impo 2017'!H68-'Expo 2017'!H68</f>
        <v>204.38045863439689</v>
      </c>
      <c r="I68" s="34">
        <f>+'Producción Laminados 2017'!I58+'Impo 2017'!I68-'Expo 2017'!I68</f>
        <v>188.89002112939696</v>
      </c>
      <c r="J68" s="34">
        <f>+'Producción Laminados 2017'!J58+'Impo 2017'!J68-'Expo 2017'!J68</f>
        <v>202.23676377753824</v>
      </c>
      <c r="K68" s="34">
        <f>+'Producción Laminados 2017'!K58+'Impo 2017'!K68-'Expo 2017'!K68</f>
        <v>211.40098656353817</v>
      </c>
      <c r="L68" s="34">
        <f>+'Producción Laminados 2017'!L58+'Impo 2017'!L68-'Expo 2017'!L68</f>
        <v>201.97139554953819</v>
      </c>
      <c r="M68" s="34">
        <f>+'Producción Laminados 2017'!M58+'Impo 2017'!M68-'Expo 2017'!M68</f>
        <v>189.1998077007803</v>
      </c>
      <c r="N68" s="34">
        <f>+'Producción Laminados 2017'!N58+'Impo 2017'!N68-'Expo 2017'!N68</f>
        <v>183.76557344878029</v>
      </c>
      <c r="O68" s="34">
        <f>+'Producción Laminados 2017'!O58+'Impo 2017'!O68-'Expo 2017'!O68</f>
        <v>184.77451872178028</v>
      </c>
      <c r="P68" s="34">
        <f>+SUM(D68:O68)</f>
        <v>2282.2240253660425</v>
      </c>
      <c r="R68" s="44"/>
      <c r="S68" s="2"/>
      <c r="U68" s="2"/>
      <c r="Y68" s="79"/>
      <c r="Z68" s="83"/>
    </row>
    <row r="69" spans="2:26" s="3" customFormat="1" ht="18" customHeight="1" thickTop="1" thickBot="1">
      <c r="B69" s="261"/>
      <c r="C69" s="29" t="s">
        <v>59</v>
      </c>
      <c r="D69" s="34">
        <f>+'Producción Laminados 2017'!D59+'Impo 2017'!D69-'Expo 2017'!D69</f>
        <v>98.965941416330807</v>
      </c>
      <c r="E69" s="34">
        <f>+'Producción Laminados 2017'!E59+'Impo 2017'!E69-'Expo 2017'!E69</f>
        <v>97.748439561330827</v>
      </c>
      <c r="F69" s="34">
        <f>+'Producción Laminados 2017'!F59+'Impo 2017'!F69-'Expo 2017'!F69</f>
        <v>96.539894416330824</v>
      </c>
      <c r="G69" s="34">
        <f>+'Producción Laminados 2017'!G59+'Impo 2017'!G69-'Expo 2017'!G69</f>
        <v>117.16364154952628</v>
      </c>
      <c r="H69" s="34">
        <f>+'Producción Laminados 2017'!H59+'Impo 2017'!H69-'Expo 2017'!H69</f>
        <v>117.27064154952627</v>
      </c>
      <c r="I69" s="34">
        <f>+'Producción Laminados 2017'!I59+'Impo 2017'!I69-'Expo 2017'!I69</f>
        <v>117.29563103652627</v>
      </c>
      <c r="J69" s="34">
        <f>+'Producción Laminados 2017'!J59+'Impo 2017'!J69-'Expo 2017'!J69</f>
        <v>116.28181899130847</v>
      </c>
      <c r="K69" s="34">
        <f>+'Producción Laminados 2017'!K59+'Impo 2017'!K69-'Expo 2017'!K69</f>
        <v>117.29184756830847</v>
      </c>
      <c r="L69" s="34">
        <f>+'Producción Laminados 2017'!L59+'Impo 2017'!L69-'Expo 2017'!L69</f>
        <v>118.32314357930848</v>
      </c>
      <c r="M69" s="34">
        <f>+'Producción Laminados 2017'!M59+'Impo 2017'!M69-'Expo 2017'!M69</f>
        <v>98.68882809618465</v>
      </c>
      <c r="N69" s="34">
        <f>+'Producción Laminados 2017'!N59+'Impo 2017'!N69-'Expo 2017'!N69</f>
        <v>98.486753585184644</v>
      </c>
      <c r="O69" s="34">
        <f>+'Producción Laminados 2017'!O59+'Impo 2017'!O69-'Expo 2017'!O69</f>
        <v>96.951151523184649</v>
      </c>
      <c r="P69" s="34">
        <f t="shared" si="2"/>
        <v>1291.0077328730508</v>
      </c>
      <c r="R69" s="44"/>
      <c r="S69" s="2"/>
      <c r="U69" s="2"/>
      <c r="Y69" s="79"/>
      <c r="Z69" s="83"/>
    </row>
    <row r="70" spans="2:26" s="3" customFormat="1" ht="18" customHeight="1" thickTop="1" thickBot="1">
      <c r="B70" s="261"/>
      <c r="C70" s="29" t="s">
        <v>60</v>
      </c>
      <c r="D70" s="34">
        <f>+'Producción Laminados 2017'!D60+'Impo 2017'!D70-'Expo 2017'!D70</f>
        <v>6.4856781723704442</v>
      </c>
      <c r="E70" s="34">
        <f>+'Producción Laminados 2017'!E60+'Impo 2017'!E70-'Expo 2017'!E70</f>
        <v>6.4856781723704442</v>
      </c>
      <c r="F70" s="34">
        <f>+'Producción Laminados 2017'!F60+'Impo 2017'!F70-'Expo 2017'!F70</f>
        <v>6.4856781723704442</v>
      </c>
      <c r="G70" s="34">
        <f>+'Producción Laminados 2017'!G60+'Impo 2017'!G70-'Expo 2017'!G70</f>
        <v>7.8398998160768825</v>
      </c>
      <c r="H70" s="34">
        <f>+'Producción Laminados 2017'!H60+'Impo 2017'!H70-'Expo 2017'!H70</f>
        <v>7.8398998160768825</v>
      </c>
      <c r="I70" s="34">
        <f>+'Producción Laminados 2017'!I60+'Impo 2017'!I70-'Expo 2017'!I70</f>
        <v>7.8398998160768825</v>
      </c>
      <c r="J70" s="34">
        <f>+'Producción Laminados 2017'!J60+'Impo 2017'!J70-'Expo 2017'!J70</f>
        <v>7.9130651378201264</v>
      </c>
      <c r="K70" s="34">
        <f>+'Producción Laminados 2017'!K60+'Impo 2017'!K70-'Expo 2017'!K70</f>
        <v>7.9130651378201264</v>
      </c>
      <c r="L70" s="34">
        <f>+'Producción Laminados 2017'!L60+'Impo 2017'!L70-'Expo 2017'!L70</f>
        <v>7.9130651378201264</v>
      </c>
      <c r="M70" s="34">
        <f>+'Producción Laminados 2017'!M60+'Impo 2017'!M70-'Expo 2017'!M70</f>
        <v>6.5061067293684722</v>
      </c>
      <c r="N70" s="34">
        <f>+'Producción Laminados 2017'!N60+'Impo 2017'!N70-'Expo 2017'!N70</f>
        <v>6.5061067293684722</v>
      </c>
      <c r="O70" s="34">
        <f>+'Producción Laminados 2017'!O60+'Impo 2017'!O70-'Expo 2017'!O70</f>
        <v>6.5061067293684722</v>
      </c>
      <c r="P70" s="34">
        <f t="shared" si="2"/>
        <v>86.234249566907764</v>
      </c>
      <c r="R70" s="44"/>
      <c r="S70" s="2"/>
      <c r="U70" s="2"/>
      <c r="Y70" s="79"/>
      <c r="Z70" s="83"/>
    </row>
    <row r="71" spans="2:26" s="3" customFormat="1" ht="18" customHeight="1" thickTop="1" thickBot="1">
      <c r="B71" s="261"/>
      <c r="C71" s="29" t="s">
        <v>139</v>
      </c>
      <c r="D71" s="52">
        <f>+D68+D69+D70</f>
        <v>282.84407647666671</v>
      </c>
      <c r="E71" s="52">
        <f t="shared" ref="E71:G71" si="34">+E68+E69+E70</f>
        <v>262.41666666666663</v>
      </c>
      <c r="F71" s="52">
        <f t="shared" si="34"/>
        <v>282.64960797366683</v>
      </c>
      <c r="G71" s="52">
        <f t="shared" si="34"/>
        <v>325.40899999999999</v>
      </c>
      <c r="H71" s="52">
        <f t="shared" ref="H71:M71" si="35">+H68+H69+H70</f>
        <v>329.49100000000004</v>
      </c>
      <c r="I71" s="52">
        <f t="shared" si="35"/>
        <v>314.02555198200008</v>
      </c>
      <c r="J71" s="52">
        <f t="shared" si="35"/>
        <v>326.43164790666685</v>
      </c>
      <c r="K71" s="52">
        <f t="shared" si="35"/>
        <v>336.60589926966679</v>
      </c>
      <c r="L71" s="52">
        <f t="shared" si="35"/>
        <v>328.20760426666681</v>
      </c>
      <c r="M71" s="52">
        <f t="shared" si="35"/>
        <v>294.3947425263334</v>
      </c>
      <c r="N71" s="52">
        <f t="shared" ref="N71:O71" si="36">+N68+N69+N70</f>
        <v>288.75843376333341</v>
      </c>
      <c r="O71" s="52">
        <f t="shared" si="36"/>
        <v>288.2317769743334</v>
      </c>
      <c r="P71" s="34">
        <f>+SUM(D71:O71)</f>
        <v>3659.466007806001</v>
      </c>
      <c r="R71" s="44"/>
      <c r="S71" s="12">
        <f>+P71-'Consumo Aparente 2016'!R71</f>
        <v>694.77153397233451</v>
      </c>
      <c r="U71" s="12"/>
      <c r="Y71" s="79"/>
      <c r="Z71" s="83"/>
    </row>
    <row r="72" spans="2:26" s="3" customFormat="1" ht="18" customHeight="1" thickTop="1" thickBot="1">
      <c r="B72" s="261"/>
      <c r="C72" s="32" t="s">
        <v>156</v>
      </c>
      <c r="D72" s="35">
        <f>+(D71-'Consumo Aparente 2016'!D71)/'Consumo Aparente 2016'!D71</f>
        <v>2.2666180342770931E-2</v>
      </c>
      <c r="E72" s="35">
        <f>+(E71-'Consumo Aparente 2016'!E71)/'Consumo Aparente 2016'!E71</f>
        <v>3.7884012823598419E-3</v>
      </c>
      <c r="F72" s="35">
        <f>+(F71-'Consumo Aparente 2016'!F71)/'Consumo Aparente 2016'!F71</f>
        <v>0.1982321280032428</v>
      </c>
      <c r="G72" s="35">
        <f>+(G71-'Consumo Aparente 2016'!G71)/'Consumo Aparente 2016'!G71</f>
        <v>0.17152695707270152</v>
      </c>
      <c r="H72" s="35">
        <f>+(H71-'Consumo Aparente 2016'!H71)/'Consumo Aparente 2016'!H71</f>
        <v>0.58115356580085253</v>
      </c>
      <c r="I72" s="35">
        <f>+(I71-'Consumo Aparente 2016'!I71)/'Consumo Aparente 2016'!I71</f>
        <v>0.12598383269525729</v>
      </c>
      <c r="J72" s="35">
        <f>+(J71-'Consumo Aparente 2016'!J71)/'Consumo Aparente 2016'!J71</f>
        <v>0.37317173953974953</v>
      </c>
      <c r="K72" s="35">
        <f>+(K71-'Consumo Aparente 2016'!K71)/'Consumo Aparente 2016'!K71</f>
        <v>0.38129347793508467</v>
      </c>
      <c r="L72" s="35">
        <f>+(L71-'Consumo Aparente 2016'!L71)/'Consumo Aparente 2016'!L71</f>
        <v>0.47990894546796647</v>
      </c>
      <c r="M72" s="35">
        <f>+(M71-'Consumo Aparente 2016'!M71)/'Consumo Aparente 2016'!M71</f>
        <v>0.10196627487755386</v>
      </c>
      <c r="N72" s="35">
        <f>+(N71-'Consumo Aparente 2016'!N71)/'Consumo Aparente 2016'!N71</f>
        <v>0.37980525952755695</v>
      </c>
      <c r="O72" s="35">
        <f>+(O71-'Consumo Aparente 2016'!O71)/'Consumo Aparente 2016'!O71</f>
        <v>0.17096584705859624</v>
      </c>
      <c r="P72" s="35">
        <f>+(P71-'Consumo Aparente 2016'!R71)/'Consumo Aparente 2016'!R71</f>
        <v>0.23434844301980323</v>
      </c>
      <c r="R72" s="44"/>
      <c r="S72" s="2"/>
      <c r="U72" s="2"/>
      <c r="Y72" s="79"/>
      <c r="Z72" s="83"/>
    </row>
    <row r="73" spans="2:26" s="3" customFormat="1" ht="18" customHeight="1" thickTop="1" thickBot="1">
      <c r="B73" s="261" t="s">
        <v>64</v>
      </c>
      <c r="C73" s="29" t="s">
        <v>65</v>
      </c>
      <c r="D73" s="34">
        <f>+'Producción Laminados 2017'!D63</f>
        <v>33</v>
      </c>
      <c r="E73" s="34">
        <f>+'Producción Laminados 2017'!E63</f>
        <v>35</v>
      </c>
      <c r="F73" s="34">
        <f>+'Producción Laminados 2017'!F63</f>
        <v>36</v>
      </c>
      <c r="G73" s="34">
        <f>+'Producción Laminados 2017'!G63</f>
        <v>33.5</v>
      </c>
      <c r="H73" s="34">
        <f>+'Producción Laminados 2017'!H63</f>
        <v>32</v>
      </c>
      <c r="I73" s="34">
        <f>+'Producción Laminados 2017'!I63</f>
        <v>35</v>
      </c>
      <c r="J73" s="34">
        <f>+'Producción Laminados 2017'!J63</f>
        <v>38</v>
      </c>
      <c r="K73" s="34">
        <f>+'Producción Laminados 2017'!K63</f>
        <v>37</v>
      </c>
      <c r="L73" s="34">
        <f>+'Producción Laminados 2017'!L63</f>
        <v>35</v>
      </c>
      <c r="M73" s="34">
        <f>+'Producción Laminados 2017'!M63</f>
        <v>34</v>
      </c>
      <c r="N73" s="34">
        <f>+'Producción Laminados 2017'!N63</f>
        <v>36</v>
      </c>
      <c r="O73" s="34">
        <f>+'Producción Laminados 2017'!O63</f>
        <v>32</v>
      </c>
      <c r="P73" s="34">
        <f>+SUM(D73:O73)</f>
        <v>416.5</v>
      </c>
      <c r="R73" s="44"/>
      <c r="S73" s="2"/>
      <c r="U73" s="2"/>
      <c r="Y73" s="79"/>
      <c r="Z73" s="83"/>
    </row>
    <row r="74" spans="2:26" s="3" customFormat="1" ht="18" customHeight="1" thickTop="1" thickBot="1">
      <c r="B74" s="261"/>
      <c r="C74" s="29" t="s">
        <v>59</v>
      </c>
      <c r="D74" s="34">
        <f>+'Producción Laminados 2017'!D64</f>
        <v>4</v>
      </c>
      <c r="E74" s="34">
        <f>+'Producción Laminados 2017'!E64</f>
        <v>3</v>
      </c>
      <c r="F74" s="34">
        <f>+'Producción Laminados 2017'!F64</f>
        <v>4.2</v>
      </c>
      <c r="G74" s="34">
        <f>+'Producción Laminados 2017'!G64</f>
        <v>5</v>
      </c>
      <c r="H74" s="34">
        <f>+'Producción Laminados 2017'!H64</f>
        <v>5</v>
      </c>
      <c r="I74" s="34">
        <f>+'Producción Laminados 2017'!I64</f>
        <v>5</v>
      </c>
      <c r="J74" s="34">
        <f>+'Producción Laminados 2017'!J64</f>
        <v>5.2</v>
      </c>
      <c r="K74" s="34">
        <f>+'Producción Laminados 2017'!K64</f>
        <v>5</v>
      </c>
      <c r="L74" s="34">
        <f>+'Producción Laminados 2017'!L64</f>
        <v>4</v>
      </c>
      <c r="M74" s="34">
        <f>+'Producción Laminados 2017'!M64</f>
        <v>4</v>
      </c>
      <c r="N74" s="34">
        <f>+'Producción Laminados 2017'!N64</f>
        <v>5</v>
      </c>
      <c r="O74" s="34">
        <f>+'Producción Laminados 2017'!O64</f>
        <v>5</v>
      </c>
      <c r="P74" s="34">
        <f t="shared" ref="P74:P86" si="37">+SUM(D74:O74)</f>
        <v>54.4</v>
      </c>
      <c r="R74" s="44"/>
      <c r="S74" s="2"/>
      <c r="U74" s="2"/>
      <c r="Y74" s="79"/>
      <c r="Z74" s="83"/>
    </row>
    <row r="75" spans="2:26" s="3" customFormat="1" ht="18" customHeight="1" thickTop="1" thickBot="1">
      <c r="B75" s="261"/>
      <c r="C75" s="29" t="s">
        <v>60</v>
      </c>
      <c r="D75" s="34">
        <f>+'Producción Laminados 2017'!D65</f>
        <v>0</v>
      </c>
      <c r="E75" s="34">
        <f>+'Producción Laminados 2017'!E65</f>
        <v>0</v>
      </c>
      <c r="F75" s="34">
        <f>+'Producción Laminados 2017'!F65</f>
        <v>0</v>
      </c>
      <c r="G75" s="34">
        <f>+'Producción Laminados 2017'!G65</f>
        <v>0</v>
      </c>
      <c r="H75" s="34">
        <f>+'Producción Laminados 2017'!H65</f>
        <v>0</v>
      </c>
      <c r="I75" s="34">
        <f>+'Producción Laminados 2017'!I65</f>
        <v>0</v>
      </c>
      <c r="J75" s="34">
        <f>+'Producción Laminados 2017'!J65</f>
        <v>0</v>
      </c>
      <c r="K75" s="34">
        <f>+'Producción Laminados 2017'!K65</f>
        <v>0</v>
      </c>
      <c r="L75" s="34">
        <f>+'Producción Laminados 2017'!L65</f>
        <v>0</v>
      </c>
      <c r="M75" s="34">
        <f>+'Producción Laminados 2017'!M65</f>
        <v>0</v>
      </c>
      <c r="N75" s="34">
        <f>+'Producción Laminados 2017'!N65</f>
        <v>0</v>
      </c>
      <c r="O75" s="34">
        <f>+'Producción Laminados 2017'!O65</f>
        <v>0</v>
      </c>
      <c r="P75" s="34">
        <f t="shared" si="37"/>
        <v>0</v>
      </c>
      <c r="R75" s="44"/>
      <c r="S75" s="2"/>
      <c r="U75" s="2"/>
      <c r="Y75" s="79"/>
      <c r="Z75" s="83"/>
    </row>
    <row r="76" spans="2:26" s="3" customFormat="1" ht="18" customHeight="1" thickTop="1" thickBot="1">
      <c r="B76" s="261"/>
      <c r="C76" s="29" t="s">
        <v>139</v>
      </c>
      <c r="D76" s="52">
        <f>+D73+D74+D75</f>
        <v>37</v>
      </c>
      <c r="E76" s="52">
        <f t="shared" ref="E76:G76" si="38">+E73+E74+E75</f>
        <v>38</v>
      </c>
      <c r="F76" s="52">
        <f t="shared" si="38"/>
        <v>40.200000000000003</v>
      </c>
      <c r="G76" s="52">
        <f t="shared" si="38"/>
        <v>38.5</v>
      </c>
      <c r="H76" s="52">
        <f t="shared" ref="H76:M76" si="39">+H73+H74+H75</f>
        <v>37</v>
      </c>
      <c r="I76" s="52">
        <f t="shared" si="39"/>
        <v>40</v>
      </c>
      <c r="J76" s="52">
        <f t="shared" si="39"/>
        <v>43.2</v>
      </c>
      <c r="K76" s="52">
        <f t="shared" si="39"/>
        <v>42</v>
      </c>
      <c r="L76" s="52">
        <f t="shared" si="39"/>
        <v>39</v>
      </c>
      <c r="M76" s="52">
        <f t="shared" si="39"/>
        <v>38</v>
      </c>
      <c r="N76" s="52">
        <f t="shared" ref="N76:O76" si="40">+N73+N74+N75</f>
        <v>41</v>
      </c>
      <c r="O76" s="52">
        <f t="shared" si="40"/>
        <v>37</v>
      </c>
      <c r="P76" s="34">
        <f t="shared" si="37"/>
        <v>470.9</v>
      </c>
      <c r="R76" s="44"/>
      <c r="S76" s="12">
        <f>+P76-'Consumo Aparente 2016'!R76</f>
        <v>35.122963827160504</v>
      </c>
      <c r="T76" s="2">
        <f>+P76/11*12</f>
        <v>513.70909090909083</v>
      </c>
      <c r="U76" s="12"/>
      <c r="Y76" s="79"/>
      <c r="Z76" s="83"/>
    </row>
    <row r="77" spans="2:26" s="3" customFormat="1" ht="18" customHeight="1" thickTop="1" thickBot="1">
      <c r="B77" s="261"/>
      <c r="C77" s="32" t="s">
        <v>156</v>
      </c>
      <c r="D77" s="35">
        <f>+(D76-'Consumo Aparente 2016'!D76)/'Consumo Aparente 2016'!D76</f>
        <v>-7.4524536980873926E-2</v>
      </c>
      <c r="E77" s="35">
        <f>+(E76-'Consumo Aparente 2016'!E76)/'Consumo Aparente 2016'!E76</f>
        <v>2.3560200962577698E-2</v>
      </c>
      <c r="F77" s="35">
        <f>+(F76-'Consumo Aparente 2016'!F76)/'Consumo Aparente 2016'!F76</f>
        <v>1.0805194960431734E-3</v>
      </c>
      <c r="G77" s="35">
        <f>+(G76-'Consumo Aparente 2016'!G76)/'Consumo Aparente 2016'!G76</f>
        <v>6.9444444444444448E-2</v>
      </c>
      <c r="H77" s="35">
        <f>+(H76-'Consumo Aparente 2016'!H76)/'Consumo Aparente 2016'!H76</f>
        <v>8.778812788037238E-2</v>
      </c>
      <c r="I77" s="35">
        <f>+(I76-'Consumo Aparente 2016'!I76)/'Consumo Aparente 2016'!I76</f>
        <v>0.21297168088494098</v>
      </c>
      <c r="J77" s="35">
        <f>+(J76-'Consumo Aparente 2016'!J76)/'Consumo Aparente 2016'!J76</f>
        <v>8.0000000000000071E-2</v>
      </c>
      <c r="K77" s="35">
        <f>+(K76-'Consumo Aparente 2016'!K76)/'Consumo Aparente 2016'!K76</f>
        <v>0.29132162783047866</v>
      </c>
      <c r="L77" s="35">
        <f>+(L76-'Consumo Aparente 2016'!L76)/'Consumo Aparente 2016'!L76</f>
        <v>0.21875</v>
      </c>
      <c r="M77" s="35">
        <f>+(M76-'Consumo Aparente 2016'!M76)/'Consumo Aparente 2016'!M76</f>
        <v>5.5555555555555552E-2</v>
      </c>
      <c r="N77" s="35">
        <f>+(N76-'Consumo Aparente 2016'!N76)/'Consumo Aparente 2016'!N76</f>
        <v>0.1388888888888889</v>
      </c>
      <c r="O77" s="35">
        <f>+(O76-'Consumo Aparente 2016'!O76)/'Consumo Aparente 2016'!O76</f>
        <v>-5.128205128205128E-2</v>
      </c>
      <c r="P77" s="35">
        <f>+(P76-'Consumo Aparente 2016'!R76)/'Consumo Aparente 2016'!R76</f>
        <v>8.0598473328525516E-2</v>
      </c>
      <c r="R77" s="44"/>
      <c r="S77" s="2"/>
      <c r="U77" s="2"/>
      <c r="Y77" s="79"/>
      <c r="Z77" s="83"/>
    </row>
    <row r="78" spans="2:26" s="3" customFormat="1" ht="18" customHeight="1" thickTop="1" thickBot="1">
      <c r="B78" s="260" t="s">
        <v>7</v>
      </c>
      <c r="C78" s="29" t="s">
        <v>65</v>
      </c>
      <c r="D78" s="34">
        <f>+'Producción Laminados 2017'!D68+'Impo 2017'!D78-'Expo 2017'!D78</f>
        <v>6.6196079999999995</v>
      </c>
      <c r="E78" s="34">
        <f>+'Producción Laminados 2017'!E68+'Impo 2017'!E78-'Expo 2017'!E78</f>
        <v>5.6987820000000005</v>
      </c>
      <c r="F78" s="34">
        <f>+'Producción Laminados 2017'!F68+'Impo 2017'!F78-'Expo 2017'!F78</f>
        <v>4.6095870000000003</v>
      </c>
      <c r="G78" s="34">
        <f>+'Producción Laminados 2017'!G68+'Impo 2017'!G78-'Expo 2017'!G78</f>
        <v>4.4630480000000006</v>
      </c>
      <c r="H78" s="34">
        <f>+'Producción Laminados 2017'!H68+'Impo 2017'!H78-'Expo 2017'!H78</f>
        <v>6.2848490000000004</v>
      </c>
      <c r="I78" s="34">
        <f>+'Producción Laminados 2017'!I68+'Impo 2017'!I78-'Expo 2017'!I78</f>
        <v>11.635157</v>
      </c>
      <c r="J78" s="34">
        <f>+'Producción Laminados 2017'!J68+'Impo 2017'!J78-'Expo 2017'!J78</f>
        <v>7.6101349999999996</v>
      </c>
      <c r="K78" s="34">
        <f>+'Producción Laminados 2017'!K68+'Impo 2017'!K78-'Expo 2017'!K78</f>
        <v>8.4812600000000007</v>
      </c>
      <c r="L78" s="34">
        <f>+'Producción Laminados 2017'!L68+'Impo 2017'!L78-'Expo 2017'!L78</f>
        <v>7.1698139999999997</v>
      </c>
      <c r="M78" s="34">
        <f>+'Producción Laminados 2017'!M68+'Impo 2017'!M78-'Expo 2017'!M78</f>
        <v>7.4254230000000003</v>
      </c>
      <c r="N78" s="34">
        <f>+'Producción Laminados 2017'!N68+'Impo 2017'!N78-'Expo 2017'!N78</f>
        <v>7</v>
      </c>
      <c r="O78" s="34">
        <f>+'Producción Laminados 2017'!O68+'Impo 2017'!O78-'Expo 2017'!O78</f>
        <v>8</v>
      </c>
      <c r="P78" s="34">
        <f>+SUM(D78:O78)</f>
        <v>84.997663000000003</v>
      </c>
      <c r="R78" s="44"/>
      <c r="S78" s="2"/>
      <c r="U78" s="2"/>
      <c r="Y78" s="79"/>
      <c r="Z78" s="83"/>
    </row>
    <row r="79" spans="2:26" s="3" customFormat="1" ht="18" customHeight="1" thickTop="1" thickBot="1">
      <c r="B79" s="260"/>
      <c r="C79" s="29" t="s">
        <v>59</v>
      </c>
      <c r="D79" s="34">
        <f>+'Producción Laminados 2017'!D69+'Impo 2017'!D79-'Expo 2017'!D79</f>
        <v>6.8664180000000004</v>
      </c>
      <c r="E79" s="34">
        <f>+'Producción Laminados 2017'!E69+'Impo 2017'!E79-'Expo 2017'!E79</f>
        <v>1.0612060000000001</v>
      </c>
      <c r="F79" s="34">
        <f>+'Producción Laminados 2017'!F69+'Impo 2017'!F79-'Expo 2017'!F79</f>
        <v>2.0300400000000001</v>
      </c>
      <c r="G79" s="34">
        <f>+'Producción Laminados 2017'!G69+'Impo 2017'!G79-'Expo 2017'!G79</f>
        <v>1.434623</v>
      </c>
      <c r="H79" s="34">
        <f>+'Producción Laminados 2017'!H69+'Impo 2017'!H79-'Expo 2017'!H79</f>
        <v>1.672172</v>
      </c>
      <c r="I79" s="34">
        <f>+'Producción Laminados 2017'!I69+'Impo 2017'!I79-'Expo 2017'!I79</f>
        <v>0.838059</v>
      </c>
      <c r="J79" s="34">
        <f>+'Producción Laminados 2017'!J69+'Impo 2017'!J79-'Expo 2017'!J79</f>
        <v>3.0594570000000001</v>
      </c>
      <c r="K79" s="34">
        <f>+'Producción Laminados 2017'!K69+'Impo 2017'!K79-'Expo 2017'!K79</f>
        <v>3.8562780000000001</v>
      </c>
      <c r="L79" s="34">
        <f>+'Producción Laminados 2017'!L69+'Impo 2017'!L79-'Expo 2017'!L79</f>
        <v>0.92718999999999996</v>
      </c>
      <c r="M79" s="34">
        <f>+'Producción Laminados 2017'!M69+'Impo 2017'!M79-'Expo 2017'!M79</f>
        <v>2.7512750000000001</v>
      </c>
      <c r="N79" s="34">
        <f>+'Producción Laminados 2017'!N69+'Impo 2017'!N79-'Expo 2017'!N79</f>
        <v>2.8209900000000001</v>
      </c>
      <c r="O79" s="34">
        <f>+'Producción Laminados 2017'!O69+'Impo 2017'!O79-'Expo 2017'!O79</f>
        <v>1.9752400000000001</v>
      </c>
      <c r="P79" s="34">
        <f t="shared" si="37"/>
        <v>29.292948000000003</v>
      </c>
      <c r="R79" s="44"/>
      <c r="S79" s="2"/>
      <c r="U79" s="2"/>
      <c r="Y79" s="79"/>
      <c r="Z79" s="83"/>
    </row>
    <row r="80" spans="2:26" s="3" customFormat="1" ht="18" customHeight="1" thickTop="1" thickBot="1">
      <c r="B80" s="260"/>
      <c r="C80" s="29" t="s">
        <v>60</v>
      </c>
      <c r="D80" s="34">
        <f>+'Producción Laminados 2017'!D70+'Impo 2017'!D80-'Expo 2017'!D80</f>
        <v>0.76385099999999995</v>
      </c>
      <c r="E80" s="34">
        <f>+'Producción Laminados 2017'!E70+'Impo 2017'!E80-'Expo 2017'!E80</f>
        <v>5.1197980000000003</v>
      </c>
      <c r="F80" s="34">
        <f>+'Producción Laminados 2017'!F70+'Impo 2017'!F80-'Expo 2017'!F80</f>
        <v>12.546383000000001</v>
      </c>
      <c r="G80" s="34">
        <f>+'Producción Laminados 2017'!G70+'Impo 2017'!G80-'Expo 2017'!G80</f>
        <v>7.9128970000000001</v>
      </c>
      <c r="H80" s="34">
        <f>+'Producción Laminados 2017'!H70+'Impo 2017'!H80-'Expo 2017'!H80</f>
        <v>7.7218410000000004</v>
      </c>
      <c r="I80" s="34">
        <f>+'Producción Laminados 2017'!I70+'Impo 2017'!I80-'Expo 2017'!I80</f>
        <v>11.540246</v>
      </c>
      <c r="J80" s="34">
        <f>+'Producción Laminados 2017'!J70+'Impo 2017'!J80-'Expo 2017'!J80</f>
        <v>2.3109250000000001</v>
      </c>
      <c r="K80" s="34">
        <f>+'Producción Laminados 2017'!K70+'Impo 2017'!K80-'Expo 2017'!K80</f>
        <v>3.2671899999999998</v>
      </c>
      <c r="L80" s="52">
        <f>+'Producción Laminados 2017'!L70+'Impo 2017'!L80-'Expo 2017'!L80</f>
        <v>0.27020100000000002</v>
      </c>
      <c r="M80" s="52">
        <f>+'Producción Laminados 2017'!M70+'Impo 2017'!M80-'Expo 2017'!M80</f>
        <v>1.085982</v>
      </c>
      <c r="N80" s="52">
        <f>+'Producción Laminados 2017'!N70+'Impo 2017'!N80-'Expo 2017'!N80</f>
        <v>2</v>
      </c>
      <c r="O80" s="52">
        <f>+'Producción Laminados 2017'!O70+'Impo 2017'!O80-'Expo 2017'!O80</f>
        <v>5</v>
      </c>
      <c r="P80" s="34">
        <f t="shared" si="37"/>
        <v>59.539314000000005</v>
      </c>
      <c r="R80" s="44"/>
      <c r="S80" s="2"/>
      <c r="U80" s="2"/>
      <c r="W80" s="78"/>
      <c r="X80" s="78"/>
      <c r="Y80" s="79"/>
      <c r="Z80" s="83"/>
    </row>
    <row r="81" spans="2:26" s="3" customFormat="1" ht="18" customHeight="1" thickTop="1" thickBot="1">
      <c r="B81" s="260"/>
      <c r="C81" s="29" t="s">
        <v>139</v>
      </c>
      <c r="D81" s="52">
        <f>+D78+D79+D80</f>
        <v>14.249877</v>
      </c>
      <c r="E81" s="52">
        <f t="shared" ref="E81:G81" si="41">+E78+E79+E80</f>
        <v>11.879786000000001</v>
      </c>
      <c r="F81" s="52">
        <f t="shared" si="41"/>
        <v>19.186010000000003</v>
      </c>
      <c r="G81" s="52">
        <f t="shared" si="41"/>
        <v>13.810568</v>
      </c>
      <c r="H81" s="52">
        <f t="shared" ref="H81:M81" si="42">+H78+H79+H80</f>
        <v>15.678862000000001</v>
      </c>
      <c r="I81" s="52">
        <f t="shared" si="42"/>
        <v>24.013461999999997</v>
      </c>
      <c r="J81" s="52">
        <f t="shared" si="42"/>
        <v>12.980516999999999</v>
      </c>
      <c r="K81" s="52">
        <f t="shared" si="42"/>
        <v>15.604728</v>
      </c>
      <c r="L81" s="52">
        <f t="shared" si="42"/>
        <v>8.3672050000000002</v>
      </c>
      <c r="M81" s="52">
        <f t="shared" si="42"/>
        <v>11.26268</v>
      </c>
      <c r="N81" s="52">
        <f t="shared" ref="N81:O81" si="43">+N78+N79+N80</f>
        <v>11.82099</v>
      </c>
      <c r="O81" s="52">
        <f t="shared" si="43"/>
        <v>14.975239999999999</v>
      </c>
      <c r="P81" s="34">
        <f t="shared" si="37"/>
        <v>173.829925</v>
      </c>
      <c r="R81" s="44"/>
      <c r="S81" s="12">
        <f>+P81-'Consumo Aparente 2016'!R81</f>
        <v>-23.49941508303408</v>
      </c>
      <c r="T81" s="2">
        <f>+P81/11*12</f>
        <v>189.63264545454547</v>
      </c>
      <c r="U81" s="12"/>
      <c r="Y81" s="79"/>
      <c r="Z81" s="83"/>
    </row>
    <row r="82" spans="2:26" s="3" customFormat="1" ht="18" customHeight="1" thickTop="1" thickBot="1">
      <c r="B82" s="260"/>
      <c r="C82" s="32" t="s">
        <v>156</v>
      </c>
      <c r="D82" s="35">
        <f>+(D81-'Consumo Aparente 2016'!D81)/'Consumo Aparente 2016'!D81</f>
        <v>-8.0036028867187334E-3</v>
      </c>
      <c r="E82" s="35">
        <f>+(E81-'Consumo Aparente 2016'!E81)/'Consumo Aparente 2016'!E81</f>
        <v>9.1446343577707867E-2</v>
      </c>
      <c r="F82" s="35">
        <f>+(F81-'Consumo Aparente 2016'!F81)/'Consumo Aparente 2016'!F81</f>
        <v>3.008846156008279E-2</v>
      </c>
      <c r="G82" s="35">
        <f>+(G81-'Consumo Aparente 2016'!G81)/'Consumo Aparente 2016'!G81</f>
        <v>-3.6958515023222054E-2</v>
      </c>
      <c r="H82" s="35">
        <f>+(H81-'Consumo Aparente 2016'!H81)/'Consumo Aparente 2016'!H81</f>
        <v>-0.16118049208090349</v>
      </c>
      <c r="I82" s="35">
        <f>+(I81-'Consumo Aparente 2016'!I81)/'Consumo Aparente 2016'!I81</f>
        <v>0.23828123534796816</v>
      </c>
      <c r="J82" s="35">
        <f>+(J81-'Consumo Aparente 2016'!J81)/'Consumo Aparente 2016'!J81</f>
        <v>-0.25189548891599567</v>
      </c>
      <c r="K82" s="35">
        <f>+(K81-'Consumo Aparente 2016'!K81)/'Consumo Aparente 2016'!K81</f>
        <v>-0.15663106259758736</v>
      </c>
      <c r="L82" s="35">
        <f>+(L81-'Consumo Aparente 2016'!L81)/'Consumo Aparente 2016'!L81</f>
        <v>-0.49626800751094335</v>
      </c>
      <c r="M82" s="35">
        <f>+(M81-'Consumo Aparente 2016'!M81)/'Consumo Aparente 2016'!M81</f>
        <v>-0.29353392451577326</v>
      </c>
      <c r="N82" s="35">
        <f>+(N81-'Consumo Aparente 2016'!N81)/'Consumo Aparente 2016'!N81</f>
        <v>-0.28285826571309775</v>
      </c>
      <c r="O82" s="35">
        <f>+(O81-'Consumo Aparente 2016'!O81)/'Consumo Aparente 2016'!O81</f>
        <v>-7.2136154810187023E-2</v>
      </c>
      <c r="P82" s="35">
        <f>+(P81-'Consumo Aparente 2016'!R81)/'Consumo Aparente 2016'!R81</f>
        <v>-0.11908728358968705</v>
      </c>
      <c r="R82" s="44"/>
      <c r="S82" s="2"/>
      <c r="U82" s="2"/>
      <c r="Y82" s="79"/>
      <c r="Z82" s="83"/>
    </row>
    <row r="83" spans="2:26" ht="18" customHeight="1" thickTop="1" thickBot="1">
      <c r="B83" s="260" t="s">
        <v>3</v>
      </c>
      <c r="C83" s="29" t="s">
        <v>65</v>
      </c>
      <c r="D83" s="30">
        <f>+'Producción Laminados 2017'!D73+'Impo 2017'!D78-'Expo 2017'!D78</f>
        <v>13.763356</v>
      </c>
      <c r="E83" s="30">
        <f>+'Producción Laminados 2017'!E73+'Impo 2017'!E78-'Expo 2017'!E78</f>
        <v>23.659668</v>
      </c>
      <c r="F83" s="30">
        <f>+'Producción Laminados 2017'!F73+'Impo 2017'!F78-'Expo 2017'!F78</f>
        <v>22.040277</v>
      </c>
      <c r="G83" s="30">
        <f>+'Producción Laminados 2017'!G73+'Impo 2017'!G78-'Expo 2017'!G78</f>
        <v>11.251390000000001</v>
      </c>
      <c r="H83" s="30">
        <f>+'Producción Laminados 2017'!H73+'Impo 2017'!H78-'Expo 2017'!H78</f>
        <v>28.394168999999998</v>
      </c>
      <c r="I83" s="30">
        <f>+'Producción Laminados 2017'!I73+'Impo 2017'!I78-'Expo 2017'!I78</f>
        <v>30.340848999999999</v>
      </c>
      <c r="J83" s="30">
        <f>+'Producción Laminados 2017'!J73+'Impo 2017'!J78-'Expo 2017'!J78</f>
        <v>2.1196550000000003</v>
      </c>
      <c r="K83" s="30">
        <f>+'Producción Laminados 2017'!K73+'Impo 2017'!K78-'Expo 2017'!K78</f>
        <v>8.4151600000000002</v>
      </c>
      <c r="L83" s="30">
        <f>+'Producción Laminados 2017'!L73+'Impo 2017'!L78-'Expo 2017'!L78</f>
        <v>13.156814000000001</v>
      </c>
      <c r="M83" s="30">
        <f>+'Producción Laminados 2017'!M73+'Impo 2017'!M78-'Expo 2017'!M78</f>
        <v>5.280443</v>
      </c>
      <c r="N83" s="30">
        <f>+'Producción Laminados 2017'!N73+'Impo 2017'!N78-'Expo 2017'!N78</f>
        <v>6.2086620000000003</v>
      </c>
      <c r="O83" s="30">
        <f>+'Producción Laminados 2017'!O73+'Impo 2017'!O78-'Expo 2017'!O78</f>
        <v>12.311833999999999</v>
      </c>
      <c r="P83" s="34">
        <f>+SUM(D83:O83)</f>
        <v>176.94227699999996</v>
      </c>
      <c r="R83" s="14"/>
      <c r="Y83" s="78"/>
    </row>
    <row r="84" spans="2:26" ht="18" customHeight="1" thickTop="1" thickBot="1">
      <c r="B84" s="260"/>
      <c r="C84" s="29" t="s">
        <v>59</v>
      </c>
      <c r="D84" s="30">
        <f>+'Producción Laminados 2017'!D74+'Impo 2017'!D79-'Expo 2017'!D79</f>
        <v>42.532670000000003</v>
      </c>
      <c r="E84" s="30">
        <f>+'Producción Laminados 2017'!E74+'Impo 2017'!E79-'Expo 2017'!E79</f>
        <v>24.966342999999998</v>
      </c>
      <c r="F84" s="30">
        <f>+'Producción Laminados 2017'!F74+'Impo 2017'!F79-'Expo 2017'!F79</f>
        <v>25.156289999999998</v>
      </c>
      <c r="G84" s="30">
        <f>+'Producción Laminados 2017'!G74+'Impo 2017'!G79-'Expo 2017'!G79</f>
        <v>27.541654000000001</v>
      </c>
      <c r="H84" s="30">
        <f>+'Producción Laminados 2017'!H74+'Impo 2017'!H79-'Expo 2017'!H79</f>
        <v>18.650116999999998</v>
      </c>
      <c r="I84" s="30">
        <f>+'Producción Laminados 2017'!I74+'Impo 2017'!I79-'Expo 2017'!I79</f>
        <v>14.929847000000001</v>
      </c>
      <c r="J84" s="30">
        <f>+'Producción Laminados 2017'!J74+'Impo 2017'!J79-'Expo 2017'!J79</f>
        <v>7.7093290000000003</v>
      </c>
      <c r="K84" s="30">
        <f>+'Producción Laminados 2017'!K74+'Impo 2017'!K79-'Expo 2017'!K79</f>
        <v>15.544278000000002</v>
      </c>
      <c r="L84" s="30">
        <f>+'Producción Laminados 2017'!L74+'Impo 2017'!L79-'Expo 2017'!L79</f>
        <v>32.143190000000004</v>
      </c>
      <c r="M84" s="30">
        <f>+'Producción Laminados 2017'!M74+'Impo 2017'!M79-'Expo 2017'!M79</f>
        <v>9.6984539999999999</v>
      </c>
      <c r="N84" s="30">
        <f>+'Producción Laminados 2017'!N74+'Impo 2017'!N79-'Expo 2017'!N79</f>
        <v>39.299753000000017</v>
      </c>
      <c r="O84" s="30">
        <f>+'Producción Laminados 2017'!O74+'Impo 2017'!O79-'Expo 2017'!O79</f>
        <v>16.71694999999999</v>
      </c>
      <c r="P84" s="34">
        <f t="shared" si="37"/>
        <v>274.88887499999998</v>
      </c>
      <c r="R84" s="14"/>
      <c r="W84" s="78"/>
      <c r="X84" s="78"/>
      <c r="Y84" s="78"/>
    </row>
    <row r="85" spans="2:26" ht="18" customHeight="1" thickTop="1" thickBot="1">
      <c r="B85" s="260"/>
      <c r="C85" s="29" t="s">
        <v>60</v>
      </c>
      <c r="D85" s="30">
        <f>+'Producción Laminados 2017'!D75+'Impo 2017'!D80-'Expo 2017'!D80</f>
        <v>0.76385099999999995</v>
      </c>
      <c r="E85" s="30">
        <f>+'Producción Laminados 2017'!E75+'Impo 2017'!E80-'Expo 2017'!E80</f>
        <v>5.1197980000000003</v>
      </c>
      <c r="F85" s="30">
        <f>+'Producción Laminados 2017'!F75+'Impo 2017'!F80-'Expo 2017'!F80</f>
        <v>12.546383000000001</v>
      </c>
      <c r="G85" s="30">
        <f>+'Producción Laminados 2017'!G75+'Impo 2017'!G80-'Expo 2017'!G80</f>
        <v>7.9128970000000001</v>
      </c>
      <c r="H85" s="30">
        <f>+'Producción Laminados 2017'!H75+'Impo 2017'!H80-'Expo 2017'!H80</f>
        <v>7.7218410000000004</v>
      </c>
      <c r="I85" s="30">
        <f>+'Producción Laminados 2017'!I75+'Impo 2017'!I80-'Expo 2017'!I80</f>
        <v>11.540246</v>
      </c>
      <c r="J85" s="30">
        <f>+'Producción Laminados 2017'!J75+'Impo 2017'!J80-'Expo 2017'!J80</f>
        <v>2.3109250000000001</v>
      </c>
      <c r="K85" s="30">
        <f>+'Producción Laminados 2017'!K75+'Impo 2017'!K80-'Expo 2017'!K80</f>
        <v>3.2671899999999998</v>
      </c>
      <c r="L85" s="30">
        <f>+'Producción Laminados 2017'!L75+'Impo 2017'!L80-'Expo 2017'!L80</f>
        <v>0.27020100000000002</v>
      </c>
      <c r="M85" s="30">
        <f>+'Producción Laminados 2017'!M75+'Impo 2017'!M80-'Expo 2017'!M80</f>
        <v>1.085982</v>
      </c>
      <c r="N85" s="30">
        <f>+'Producción Laminados 2017'!N75+'Impo 2017'!N80-'Expo 2017'!N80</f>
        <v>2</v>
      </c>
      <c r="O85" s="30">
        <f>+'Producción Laminados 2017'!O75+'Impo 2017'!O80-'Expo 2017'!O80</f>
        <v>5</v>
      </c>
      <c r="P85" s="34">
        <f t="shared" si="37"/>
        <v>59.539314000000005</v>
      </c>
      <c r="R85" s="14"/>
      <c r="W85" s="78"/>
      <c r="X85" s="78"/>
      <c r="Y85" s="78"/>
    </row>
    <row r="86" spans="2:26" ht="18" customHeight="1" thickTop="1" thickBot="1">
      <c r="B86" s="260"/>
      <c r="C86" s="29" t="s">
        <v>139</v>
      </c>
      <c r="D86" s="53">
        <f>+D83+D84+D85</f>
        <v>57.059877000000007</v>
      </c>
      <c r="E86" s="53">
        <f t="shared" ref="E86:G86" si="44">+E83+E84+E85</f>
        <v>53.745809000000001</v>
      </c>
      <c r="F86" s="53">
        <f t="shared" si="44"/>
        <v>59.74295</v>
      </c>
      <c r="G86" s="53">
        <f t="shared" si="44"/>
        <v>46.705941000000003</v>
      </c>
      <c r="H86" s="53">
        <f t="shared" ref="H86:M86" si="45">+H83+H84+H85</f>
        <v>54.766126999999997</v>
      </c>
      <c r="I86" s="53">
        <f t="shared" si="45"/>
        <v>56.810941999999997</v>
      </c>
      <c r="J86" s="53">
        <f t="shared" si="45"/>
        <v>12.139908999999999</v>
      </c>
      <c r="K86" s="53">
        <f t="shared" si="45"/>
        <v>27.226628000000002</v>
      </c>
      <c r="L86" s="53">
        <f t="shared" si="45"/>
        <v>45.570205000000001</v>
      </c>
      <c r="M86" s="53">
        <f t="shared" si="45"/>
        <v>16.064879000000001</v>
      </c>
      <c r="N86" s="53">
        <f t="shared" ref="N86:O86" si="46">+N83+N84+N85</f>
        <v>47.508415000000014</v>
      </c>
      <c r="O86" s="53">
        <f t="shared" si="46"/>
        <v>34.028783999999987</v>
      </c>
      <c r="P86" s="34">
        <f t="shared" si="37"/>
        <v>511.37046600000002</v>
      </c>
      <c r="R86" s="14"/>
      <c r="S86" s="12">
        <f>+P86-'Consumo Aparente 2016'!R86</f>
        <v>-166.48382000000009</v>
      </c>
      <c r="U86" s="12"/>
      <c r="Y86" s="78"/>
    </row>
    <row r="87" spans="2:26" ht="18" customHeight="1" thickTop="1" thickBot="1">
      <c r="B87" s="260"/>
      <c r="C87" s="32" t="s">
        <v>156</v>
      </c>
      <c r="D87" s="37">
        <f>+(D86-'Consumo Aparente 2016'!D86)/'Consumo Aparente 2016'!D86</f>
        <v>-0.3662488535310422</v>
      </c>
      <c r="E87" s="37">
        <f>+(E86-'Consumo Aparente 2016'!E86)/'Consumo Aparente 2016'!E86</f>
        <v>-7.191049404338512E-2</v>
      </c>
      <c r="F87" s="37">
        <f>+(F86-'Consumo Aparente 2016'!F86)/'Consumo Aparente 2016'!F86</f>
        <v>0.42987708690356119</v>
      </c>
      <c r="G87" s="37">
        <f>+(G86-'Consumo Aparente 2016'!G86)/'Consumo Aparente 2016'!G86</f>
        <v>-9.7172544763143003E-3</v>
      </c>
      <c r="H87" s="37">
        <f>+(H86-'Consumo Aparente 2016'!H86)/'Consumo Aparente 2016'!H86</f>
        <v>0.91901738100252195</v>
      </c>
      <c r="I87" s="37">
        <f>+(I86-'Consumo Aparente 2016'!I86)/'Consumo Aparente 2016'!I86</f>
        <v>0.17433301584905733</v>
      </c>
      <c r="J87" s="37">
        <f>+(J86-'Consumo Aparente 2016'!J86)/'Consumo Aparente 2016'!J86</f>
        <v>-0.75194298650827418</v>
      </c>
      <c r="K87" s="37">
        <f>+(K86-'Consumo Aparente 2016'!K86)/'Consumo Aparente 2016'!K86</f>
        <v>-0.51914170487267264</v>
      </c>
      <c r="L87" s="37">
        <f>+(L86-'Consumo Aparente 2016'!L86)/'Consumo Aparente 2016'!L86</f>
        <v>-0.14330276897511912</v>
      </c>
      <c r="M87" s="37">
        <f>+(M86-'Consumo Aparente 2016'!M86)/'Consumo Aparente 2016'!M86</f>
        <v>-0.8145599033566433</v>
      </c>
      <c r="N87" s="37">
        <f>+(N86-'Consumo Aparente 2016'!N86)/'Consumo Aparente 2016'!N86</f>
        <v>0.27502080331191203</v>
      </c>
      <c r="O87" s="37">
        <f>+(O86-'Consumo Aparente 2016'!O86)/'Consumo Aparente 2016'!O86</f>
        <v>-0.58196239514795689</v>
      </c>
      <c r="P87" s="35">
        <f>+(P86-'Consumo Aparente 2016'!R86)/'Consumo Aparente 2016'!R86</f>
        <v>-0.24560414153669607</v>
      </c>
      <c r="R87" s="14"/>
      <c r="Y87" s="78"/>
    </row>
    <row r="88" spans="2:26" s="3" customFormat="1" ht="18" customHeight="1" thickTop="1" thickBot="1">
      <c r="B88" s="261" t="s">
        <v>61</v>
      </c>
      <c r="C88" s="29" t="s">
        <v>65</v>
      </c>
      <c r="D88" s="34">
        <f>+D3+D13+D18+D23+D28+D63+D33+D38+D43+D53+D58+D68+D73+D78+D83+D8+D48</f>
        <v>2255.7785940399654</v>
      </c>
      <c r="E88" s="34">
        <f t="shared" ref="E88:N88" si="47">+E3+E13+E18+E23+E28+E63+E33+E38+E43+E53+E58+E68+E73+E78+E83+E8+E48</f>
        <v>2210.6981233709653</v>
      </c>
      <c r="F88" s="34">
        <f t="shared" si="47"/>
        <v>2467.6990093149652</v>
      </c>
      <c r="G88" s="34">
        <f t="shared" si="47"/>
        <v>2319.5491028218962</v>
      </c>
      <c r="H88" s="34">
        <f t="shared" ref="H88:K91" si="48">+H3+H13+H18+H23+H28+H63+H33+H38+H43+H53+H58+H68+H73+H78+H83+H8+H48</f>
        <v>2375.6155873882358</v>
      </c>
      <c r="I88" s="34">
        <f t="shared" si="48"/>
        <v>2327.2583384931972</v>
      </c>
      <c r="J88" s="34">
        <f t="shared" si="48"/>
        <v>2239.3319384437477</v>
      </c>
      <c r="K88" s="34">
        <f t="shared" si="48"/>
        <v>2328.1113248527386</v>
      </c>
      <c r="L88" s="34">
        <f t="shared" si="47"/>
        <v>2234.6488451458745</v>
      </c>
      <c r="M88" s="34">
        <f t="shared" si="47"/>
        <v>2324.885589299919</v>
      </c>
      <c r="N88" s="34">
        <f t="shared" si="47"/>
        <v>2238.9359910905191</v>
      </c>
      <c r="O88" s="34">
        <f t="shared" ref="O88" si="49">+O3+O13+O18+O23+O28+O63+O33+O38+O43+O53+O58+O68+O73+O78+O83+O8+O48</f>
        <v>2096.246586116416</v>
      </c>
      <c r="P88" s="34">
        <f>+SUM(D88:O88)</f>
        <v>27418.759030378442</v>
      </c>
      <c r="Q88" s="5"/>
      <c r="R88" s="44"/>
      <c r="S88" s="12">
        <f>+P88-'Consumo Aparente 2016'!R88</f>
        <v>-424.71072046052723</v>
      </c>
      <c r="T88" s="49">
        <f>+P88/P91</f>
        <v>0.40519160347005301</v>
      </c>
      <c r="U88" s="14">
        <f>(P88-'Consumo Aparente 2015'!S88)/'Consumo Aparente 2015'!S88</f>
        <v>0.77824411706892893</v>
      </c>
      <c r="W88" s="78"/>
      <c r="X88" s="78"/>
      <c r="Y88" s="79"/>
      <c r="Z88" s="83"/>
    </row>
    <row r="89" spans="2:26" s="3" customFormat="1" ht="18" customHeight="1" thickTop="1" thickBot="1">
      <c r="B89" s="261"/>
      <c r="C89" s="29" t="s">
        <v>59</v>
      </c>
      <c r="D89" s="34">
        <f>+D4+D14+D19+D24+D29+D64+D34+D39+D44+D54+D59+D69+D74+D79+D84+D9+D49</f>
        <v>3218.1682067413303</v>
      </c>
      <c r="E89" s="34">
        <f t="shared" ref="E89:N89" si="50">+E4+E14+E19+E24+E29+E64+E34+E39+E44+E54+E59+E69+E74+E79+E84+E9+E49</f>
        <v>2847.918904158631</v>
      </c>
      <c r="F89" s="34">
        <f t="shared" si="50"/>
        <v>3400.2257374342303</v>
      </c>
      <c r="G89" s="34">
        <f t="shared" si="50"/>
        <v>3333.4462642013268</v>
      </c>
      <c r="H89" s="34">
        <f t="shared" si="48"/>
        <v>3342.7937151876422</v>
      </c>
      <c r="I89" s="34">
        <f t="shared" si="48"/>
        <v>3302.3139995858264</v>
      </c>
      <c r="J89" s="34">
        <f t="shared" si="48"/>
        <v>3373.2554081278086</v>
      </c>
      <c r="K89" s="34">
        <f t="shared" si="48"/>
        <v>3302.5308995167074</v>
      </c>
      <c r="L89" s="34">
        <f t="shared" si="50"/>
        <v>3200.0067485941236</v>
      </c>
      <c r="M89" s="34">
        <f t="shared" si="50"/>
        <v>3230.3540077692005</v>
      </c>
      <c r="N89" s="34">
        <f t="shared" si="50"/>
        <v>3017.9296900744002</v>
      </c>
      <c r="O89" s="34">
        <f t="shared" ref="O89" si="51">+O4+O14+O19+O24+O29+O64+O34+O39+O44+O54+O59+O69+O74+O79+O84+O9+O49</f>
        <v>2826.4384858243848</v>
      </c>
      <c r="P89" s="34">
        <f>+SUM(D89:O89)</f>
        <v>38395.382067215614</v>
      </c>
      <c r="Q89" s="5"/>
      <c r="R89" s="44"/>
      <c r="S89" s="2"/>
      <c r="T89" s="49">
        <f>+P89/P91</f>
        <v>0.56740301077899236</v>
      </c>
      <c r="U89" s="14">
        <f>(P89-'Consumo Aparente 2015'!S89)/'Consumo Aparente 2015'!S89</f>
        <v>0.93425798465692989</v>
      </c>
      <c r="W89" s="78"/>
      <c r="X89" s="78"/>
      <c r="Y89" s="79"/>
      <c r="Z89" s="83"/>
    </row>
    <row r="90" spans="2:26" s="3" customFormat="1" ht="18" customHeight="1" thickTop="1" thickBot="1">
      <c r="B90" s="261"/>
      <c r="C90" s="29" t="s">
        <v>60</v>
      </c>
      <c r="D90" s="34">
        <f>+D5+D15+D20+D25+D30+D65+D35+D40+D45+D55+D60+D70+D75+D80+D85+D10+D50</f>
        <v>61.031594114370435</v>
      </c>
      <c r="E90" s="34">
        <f t="shared" ref="E90:N90" si="52">+E5+E15+E20+E25+E30+E65+E35+E40+E45+E55+E60+E70+E75+E80+E85+E10+E50</f>
        <v>23.637160440970423</v>
      </c>
      <c r="F90" s="34">
        <f t="shared" si="52"/>
        <v>111.90471437077045</v>
      </c>
      <c r="G90" s="34">
        <f t="shared" si="52"/>
        <v>81.680186208076861</v>
      </c>
      <c r="H90" s="34">
        <f t="shared" si="48"/>
        <v>81.045852980976875</v>
      </c>
      <c r="I90" s="34">
        <f t="shared" si="48"/>
        <v>93.503347729876879</v>
      </c>
      <c r="J90" s="34">
        <f t="shared" si="48"/>
        <v>58.299184496420118</v>
      </c>
      <c r="K90" s="34">
        <f t="shared" si="48"/>
        <v>101.02093573882013</v>
      </c>
      <c r="L90" s="34">
        <f t="shared" si="52"/>
        <v>71.582107823120111</v>
      </c>
      <c r="M90" s="34">
        <f t="shared" si="52"/>
        <v>91.711161022368429</v>
      </c>
      <c r="N90" s="34">
        <f t="shared" si="52"/>
        <v>71.18177303786851</v>
      </c>
      <c r="O90" s="34">
        <f t="shared" ref="O90" si="53">+O5+O15+O20+O25+O30+O65+O35+O40+O45+O55+O60+O70+O75+O80+O85+O10+O50</f>
        <v>72.570893453868464</v>
      </c>
      <c r="P90" s="34">
        <f>+SUM(D90:O90)</f>
        <v>919.16891141750773</v>
      </c>
      <c r="Q90" s="5"/>
      <c r="R90" s="44"/>
      <c r="S90" s="2"/>
      <c r="T90" s="49">
        <f>+P90/P91</f>
        <v>1.3583383721503991E-2</v>
      </c>
      <c r="U90" s="14">
        <f>(P90-'Consumo Aparente 2015'!S90)/'Consumo Aparente 2015'!S90</f>
        <v>0.12021229452688879</v>
      </c>
      <c r="W90" s="78"/>
      <c r="X90" s="78"/>
      <c r="Y90" s="79"/>
      <c r="Z90" s="83"/>
    </row>
    <row r="91" spans="2:26" s="3" customFormat="1" ht="18" customHeight="1" thickTop="1" thickBot="1">
      <c r="B91" s="261"/>
      <c r="C91" s="29" t="s">
        <v>139</v>
      </c>
      <c r="D91" s="34">
        <f>+D6+D16+D21+D26+D31+D66+D36+D41+D46+D56+D61+D71+D76+D81+D86+D11+D51</f>
        <v>5432.7383948956658</v>
      </c>
      <c r="E91" s="34">
        <f t="shared" ref="E91:N91" si="54">+E6+E16+E21+E26+E31+E66+E36+E41+E46+E56+E61+E71+E76+E81+E86+E11+E51</f>
        <v>4974.1441879705662</v>
      </c>
      <c r="F91" s="34">
        <f>+F6+F16+F21+F26+F31+F66+F36+F41+F46+F56+F61+F71+F76+F81+F86+F11+F51</f>
        <v>5982.3124611199664</v>
      </c>
      <c r="G91" s="34">
        <f>+G6+G16+G21+G26+G31+G66+G36+G41+G46+G56+G61+G71+G76+G81+G86+G11+G51</f>
        <v>5399.3485532312998</v>
      </c>
      <c r="H91" s="34">
        <f t="shared" si="48"/>
        <v>5865.5201555568547</v>
      </c>
      <c r="I91" s="34">
        <f t="shared" si="48"/>
        <v>5926.3186858089011</v>
      </c>
      <c r="J91" s="34">
        <f t="shared" si="48"/>
        <v>5641.8575310679771</v>
      </c>
      <c r="K91" s="34">
        <f t="shared" si="48"/>
        <v>5900.8521601082675</v>
      </c>
      <c r="L91" s="34">
        <f t="shared" si="54"/>
        <v>5708.0457015631191</v>
      </c>
      <c r="M91" s="34">
        <f t="shared" si="54"/>
        <v>5563.2177580914868</v>
      </c>
      <c r="N91" s="34">
        <f t="shared" si="54"/>
        <v>5323.7974542027878</v>
      </c>
      <c r="O91" s="34">
        <f t="shared" ref="O91" si="55">+O6+O16+O21+O26+O31+O66+O36+O41+O46+O56+O61+O71+O76+O81+O86+O11+O51</f>
        <v>5231.0699653946695</v>
      </c>
      <c r="P91" s="34">
        <f>+P6+P16+P21+P26+P31+P66+P36+P41+P46+P56+P61+P71+P76+P81+P86+P11+P51+136.8159864+106.6359894+303.8119698</f>
        <v>67668.62589344084</v>
      </c>
      <c r="Q91" s="5"/>
      <c r="R91" s="44"/>
      <c r="S91" s="12">
        <f>+P91-'Consumo Aparente 2016'!R91</f>
        <v>2829.6258934408397</v>
      </c>
      <c r="T91" s="44"/>
      <c r="U91" s="14">
        <f>(P91-'Consumo Aparente 2015'!S91)/'Consumo Aparente 2015'!S91</f>
        <v>0.87894442835422815</v>
      </c>
      <c r="Y91" s="79"/>
      <c r="Z91" s="83"/>
    </row>
    <row r="92" spans="2:26" ht="18" customHeight="1" thickTop="1" thickBot="1">
      <c r="B92" s="261"/>
      <c r="C92" s="32" t="s">
        <v>156</v>
      </c>
      <c r="D92" s="35">
        <f>+(D91-'Consumo Aparente 2016'!D91)/'Consumo Aparente 2016'!D91</f>
        <v>3.4675825714138492E-2</v>
      </c>
      <c r="E92" s="35">
        <f>+(E91-'Consumo Aparente 2016'!E91)/'Consumo Aparente 2016'!E91</f>
        <v>8.9673076399010079E-3</v>
      </c>
      <c r="F92" s="35">
        <f>+(F91-'Consumo Aparente 2016'!F91)/'Consumo Aparente 2016'!F91</f>
        <v>8.1402189186902257E-2</v>
      </c>
      <c r="G92" s="35">
        <f>+(G91-'Consumo Aparente 2016'!G91)/'Consumo Aparente 2016'!G91</f>
        <v>6.6775375931860089E-3</v>
      </c>
      <c r="H92" s="35">
        <f>+(H91-'Consumo Aparente 2016'!H91)/'Consumo Aparente 2016'!H91</f>
        <v>0.11432885243523758</v>
      </c>
      <c r="I92" s="35">
        <f>+(I91-'Consumo Aparente 2016'!I91)/'Consumo Aparente 2016'!I91</f>
        <v>0.10889994852850536</v>
      </c>
      <c r="J92" s="35">
        <f>+(J91-'Consumo Aparente 2016'!J91)/'Consumo Aparente 2016'!J91</f>
        <v>9.4185137528396842E-2</v>
      </c>
      <c r="K92" s="35">
        <f>+(K91-'Consumo Aparente 2016'!K91)/'Consumo Aparente 2016'!K91</f>
        <v>8.8786997737204595E-2</v>
      </c>
      <c r="L92" s="35">
        <f>+(L91-'Consumo Aparente 2016'!L91)/'Consumo Aparente 2016'!L91</f>
        <v>4.6408293205781714E-2</v>
      </c>
      <c r="M92" s="35">
        <f>+(M91-'Consumo Aparente 2016'!M91)/'Consumo Aparente 2016'!M91</f>
        <v>1.6954771532006994E-3</v>
      </c>
      <c r="N92" s="35">
        <f>+(N91-'Consumo Aparente 2016'!N91)/'Consumo Aparente 2016'!N91</f>
        <v>-3.4908221191249575E-2</v>
      </c>
      <c r="O92" s="35">
        <f>+(O91-'Consumo Aparente 2016'!O91)/'Consumo Aparente 2016'!O91</f>
        <v>3.5342282659760832E-2</v>
      </c>
      <c r="P92" s="167">
        <f>+(P91-'Consumo Aparente 2016'!R91)/'Consumo Aparente 2016'!R91</f>
        <v>4.3640800959929053E-2</v>
      </c>
      <c r="Q92" s="6"/>
      <c r="R92" s="14"/>
      <c r="W92" s="78"/>
      <c r="X92" s="78"/>
      <c r="Y92" s="78"/>
    </row>
    <row r="93" spans="2:26" ht="13.5" thickTop="1">
      <c r="B93" s="28"/>
      <c r="W93" s="78"/>
      <c r="X93" s="78"/>
    </row>
    <row r="94" spans="2:26">
      <c r="B94" s="25" t="s">
        <v>19</v>
      </c>
      <c r="P94" s="7"/>
      <c r="W94" s="78"/>
      <c r="X94" s="78"/>
    </row>
    <row r="95" spans="2:26">
      <c r="B95" s="26" t="s">
        <v>12</v>
      </c>
      <c r="W95" s="78"/>
      <c r="X95" s="78"/>
    </row>
    <row r="96" spans="2:26">
      <c r="B96" s="2" t="s">
        <v>18</v>
      </c>
    </row>
    <row r="97" spans="2:16">
      <c r="B97" s="36" t="s">
        <v>92</v>
      </c>
    </row>
    <row r="101" spans="2:16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6"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</sheetData>
  <mergeCells count="18">
    <mergeCell ref="B28:B32"/>
    <mergeCell ref="B3:B7"/>
    <mergeCell ref="B8:B12"/>
    <mergeCell ref="B13:B17"/>
    <mergeCell ref="B18:B22"/>
    <mergeCell ref="B23:B27"/>
    <mergeCell ref="B88:B92"/>
    <mergeCell ref="B33:B37"/>
    <mergeCell ref="B38:B42"/>
    <mergeCell ref="B43:B47"/>
    <mergeCell ref="B48:B52"/>
    <mergeCell ref="B53:B57"/>
    <mergeCell ref="B58:B62"/>
    <mergeCell ref="B63:B67"/>
    <mergeCell ref="B68:B72"/>
    <mergeCell ref="B73:B77"/>
    <mergeCell ref="B78:B82"/>
    <mergeCell ref="B83:B87"/>
  </mergeCells>
  <hyperlinks>
    <hyperlink ref="P1" location="Índice!A1" display="Índice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Z103"/>
  <sheetViews>
    <sheetView zoomScale="90" zoomScaleNormal="90" zoomScaleSheetLayoutView="90" workbookViewId="0">
      <pane xSplit="3" ySplit="2" topLeftCell="H69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6" width="13.7109375" style="2" customWidth="1"/>
    <col min="17" max="17" width="2.7109375" style="2" customWidth="1"/>
    <col min="18" max="22" width="11.42578125" style="2"/>
    <col min="23" max="25" width="11.42578125" style="76"/>
    <col min="26" max="26" width="11.42578125" style="82"/>
    <col min="27" max="16384" width="11.42578125" style="2"/>
  </cols>
  <sheetData>
    <row r="1" spans="2:26" s="8" customFormat="1" ht="38.25" customHeight="1" thickBot="1">
      <c r="B1" s="22" t="s">
        <v>83</v>
      </c>
      <c r="P1" s="87" t="s">
        <v>111</v>
      </c>
      <c r="W1" s="75"/>
      <c r="X1" s="75"/>
      <c r="Y1" s="75"/>
      <c r="Z1" s="80"/>
    </row>
    <row r="2" spans="2:26" ht="30" customHeight="1" thickTop="1">
      <c r="B2" s="33" t="s">
        <v>36</v>
      </c>
      <c r="C2" s="21" t="s">
        <v>23</v>
      </c>
      <c r="D2" s="74" t="s">
        <v>27</v>
      </c>
      <c r="E2" s="74" t="s">
        <v>28</v>
      </c>
      <c r="F2" s="74" t="s">
        <v>26</v>
      </c>
      <c r="G2" s="74" t="s">
        <v>22</v>
      </c>
      <c r="H2" s="74" t="s">
        <v>29</v>
      </c>
      <c r="I2" s="74" t="s">
        <v>30</v>
      </c>
      <c r="J2" s="74" t="s">
        <v>31</v>
      </c>
      <c r="K2" s="74" t="s">
        <v>32</v>
      </c>
      <c r="L2" s="74" t="s">
        <v>33</v>
      </c>
      <c r="M2" s="74" t="s">
        <v>24</v>
      </c>
      <c r="N2" s="74" t="s">
        <v>34</v>
      </c>
      <c r="O2" s="74" t="s">
        <v>35</v>
      </c>
      <c r="P2" s="54" t="s">
        <v>25</v>
      </c>
      <c r="R2" s="36" t="s">
        <v>176</v>
      </c>
      <c r="S2" s="36" t="s">
        <v>178</v>
      </c>
      <c r="Y2" s="77"/>
      <c r="Z2" s="81"/>
    </row>
    <row r="3" spans="2:26" ht="18" customHeight="1" thickBot="1">
      <c r="B3" s="259" t="s">
        <v>0</v>
      </c>
      <c r="C3" s="29" t="s">
        <v>65</v>
      </c>
      <c r="D3" s="34">
        <f>+'Producción Laminados 2016'!D3+'Impo 2016'!D3-'Expo 2016'!D3</f>
        <v>113.26214658000001</v>
      </c>
      <c r="E3" s="34">
        <f>+'Producción Laminados 2016'!E3+'Impo 2016'!E3-'Expo 2016'!E3</f>
        <v>128.23493487000002</v>
      </c>
      <c r="F3" s="34">
        <f>+'Producción Laminados 2016'!F3+'Impo 2016'!F3-'Expo 2016'!F3</f>
        <v>143.13380000999999</v>
      </c>
      <c r="G3" s="34">
        <f>+'Producción Laminados 2016'!G3+'Impo 2016'!G3-'Expo 2016'!G3</f>
        <v>133.06336064999999</v>
      </c>
      <c r="H3" s="34">
        <f>+'Producción Laminados 2016'!H3+'Impo 2016'!H3-'Expo 2016'!H3</f>
        <v>127.90743831</v>
      </c>
      <c r="I3" s="34">
        <f>+'Producción Laminados 2016'!I3+'Impo 2016'!I3-'Expo 2016'!I3</f>
        <v>113.51892826000001</v>
      </c>
      <c r="J3" s="34">
        <f>+'Producción Laminados 2016'!J3+'Impo 2016'!J3-'Expo 2016'!J3</f>
        <v>107.36563092</v>
      </c>
      <c r="K3" s="34">
        <f>+'Producción Laminados 2016'!K3+'Impo 2016'!K3-'Expo 2016'!K3</f>
        <v>120.37585156</v>
      </c>
      <c r="L3" s="34">
        <f>+'Producción Laminados 2016'!L3+'Impo 2016'!L3-'Expo 2016'!L3</f>
        <v>114.50317468000001</v>
      </c>
      <c r="M3" s="34">
        <f>+'Producción Laminados 2016'!M3+'Impo 2016'!M3-'Expo 2016'!M3</f>
        <v>127.88373126000002</v>
      </c>
      <c r="N3" s="34">
        <f>+'Producción Laminados 2016'!N3+'Impo 2016'!N3-'Expo 2016'!N3</f>
        <v>125.23530936666666</v>
      </c>
      <c r="O3" s="34">
        <f>+'Producción Laminados 2016'!O3+'Impo 2016'!O3-'Expo 2016'!O3</f>
        <v>81.552408548888906</v>
      </c>
      <c r="P3" s="34">
        <f>+SUM(D3:O3)</f>
        <v>1436.0367150155557</v>
      </c>
      <c r="R3" s="14"/>
      <c r="V3" s="2" t="s">
        <v>102</v>
      </c>
      <c r="W3" s="78">
        <v>8202.5970381909992</v>
      </c>
      <c r="X3" s="78">
        <v>8109.6570027480002</v>
      </c>
      <c r="Y3" s="78">
        <f t="shared" ref="Y3:Y19" si="0">W3-X3</f>
        <v>92.940035442999033</v>
      </c>
      <c r="Z3" s="82">
        <f>(W3-X3)/X3</f>
        <v>1.1460415084325491E-2</v>
      </c>
    </row>
    <row r="4" spans="2:26" ht="18" customHeight="1" thickTop="1" thickBot="1">
      <c r="B4" s="260"/>
      <c r="C4" s="29" t="s">
        <v>59</v>
      </c>
      <c r="D4" s="34">
        <f>+'Producción Laminados 2016'!D4+'Impo 2016'!D4-'Expo 2016'!D4</f>
        <v>244.92317586000001</v>
      </c>
      <c r="E4" s="34">
        <f>+'Producción Laminados 2016'!E4+'Impo 2016'!E4-'Expo 2016'!E4</f>
        <v>145.84184062</v>
      </c>
      <c r="F4" s="34">
        <f>+'Producción Laminados 2016'!F4+'Impo 2016'!F4-'Expo 2016'!F4</f>
        <v>276.46418930999999</v>
      </c>
      <c r="G4" s="34">
        <f>+'Producción Laminados 2016'!G4+'Impo 2016'!G4-'Expo 2016'!G4</f>
        <v>254.34049969999998</v>
      </c>
      <c r="H4" s="34">
        <f>+'Producción Laminados 2016'!H4+'Impo 2016'!H4-'Expo 2016'!H4</f>
        <v>244.70491616999999</v>
      </c>
      <c r="I4" s="34">
        <f>+'Producción Laminados 2016'!I4+'Impo 2016'!I4-'Expo 2016'!I4</f>
        <v>198.27038392</v>
      </c>
      <c r="J4" s="34">
        <f>+'Producción Laminados 2016'!J4+'Impo 2016'!J4-'Expo 2016'!J4</f>
        <v>185.64980616</v>
      </c>
      <c r="K4" s="34">
        <f>+'Producción Laminados 2016'!K4+'Impo 2016'!K4-'Expo 2016'!K4</f>
        <v>100.97545565</v>
      </c>
      <c r="L4" s="34">
        <f>+'Producción Laminados 2016'!L4+'Impo 2016'!L4-'Expo 2016'!L4</f>
        <v>218.31879459999999</v>
      </c>
      <c r="M4" s="34">
        <f>+'Producción Laminados 2016'!M4+'Impo 2016'!M4-'Expo 2016'!M4</f>
        <v>217.02721425000001</v>
      </c>
      <c r="N4" s="34">
        <f>+'Producción Laminados 2016'!N4+'Impo 2016'!N4-'Expo 2016'!N4</f>
        <v>217.90048816666666</v>
      </c>
      <c r="O4" s="34">
        <f>+'Producción Laminados 2016'!O4+'Impo 2016'!O4-'Expo 2016'!O4</f>
        <v>196.65683233888888</v>
      </c>
      <c r="P4" s="34">
        <f>+SUM(D4:O4)</f>
        <v>2501.0735967455553</v>
      </c>
      <c r="R4" s="14"/>
      <c r="V4" s="2" t="s">
        <v>86</v>
      </c>
      <c r="W4" s="78">
        <v>98.952201240000008</v>
      </c>
      <c r="X4" s="78">
        <v>75.05970911</v>
      </c>
      <c r="Y4" s="78">
        <f t="shared" si="0"/>
        <v>23.892492130000008</v>
      </c>
      <c r="Z4" s="82">
        <f t="shared" ref="Z4:Z20" si="1">(W4-X4)/X4</f>
        <v>0.318313145804836</v>
      </c>
    </row>
    <row r="5" spans="2:26" ht="18" customHeight="1" thickTop="1" thickBot="1">
      <c r="B5" s="260"/>
      <c r="C5" s="29" t="s">
        <v>60</v>
      </c>
      <c r="D5" s="34">
        <f>+'Producción Laminados 2016'!D5+'Impo 2016'!D5-'Expo 2016'!D5</f>
        <v>18.896268370000001</v>
      </c>
      <c r="E5" s="34">
        <f>+'Producción Laminados 2016'!E5+'Impo 2016'!E5-'Expo 2016'!E5</f>
        <v>6.5611839400000012</v>
      </c>
      <c r="F5" s="34">
        <f>+'Producción Laminados 2016'!F5+'Impo 2016'!F5-'Expo 2016'!F5</f>
        <v>12.429908769999999</v>
      </c>
      <c r="G5" s="34">
        <f>+'Producción Laminados 2016'!G5+'Impo 2016'!G5-'Expo 2016'!G5</f>
        <v>25.519888590000001</v>
      </c>
      <c r="H5" s="34">
        <f>+'Producción Laminados 2016'!H5+'Impo 2016'!H5-'Expo 2016'!H5</f>
        <v>23.746025549999999</v>
      </c>
      <c r="I5" s="34">
        <f>+'Producción Laminados 2016'!I5+'Impo 2016'!I5-'Expo 2016'!I5</f>
        <v>16.352328270000005</v>
      </c>
      <c r="J5" s="34">
        <f>+'Producción Laminados 2016'!J5+'Impo 2016'!J5-'Expo 2016'!J5</f>
        <v>22.285656800000002</v>
      </c>
      <c r="K5" s="34">
        <f>+'Producción Laminados 2016'!K5+'Impo 2016'!K5-'Expo 2016'!K5</f>
        <v>12.530724679999999</v>
      </c>
      <c r="L5" s="34">
        <f>+'Producción Laminados 2016'!L5+'Impo 2016'!L5-'Expo 2016'!L5</f>
        <v>16.202907249999999</v>
      </c>
      <c r="M5" s="34">
        <f>+'Producción Laminados 2016'!M5+'Impo 2016'!M5-'Expo 2016'!M5</f>
        <v>23.748369989999997</v>
      </c>
      <c r="N5" s="34">
        <f>+'Producción Laminados 2016'!N5+'Impo 2016'!N5-'Expo 2016'!N5</f>
        <v>22.41333397333333</v>
      </c>
      <c r="O5" s="34">
        <f>+'Producción Laminados 2016'!O5+'Impo 2016'!O5-'Expo 2016'!O5</f>
        <v>27.694870404444444</v>
      </c>
      <c r="P5" s="34">
        <f>+SUM(D5:O5)</f>
        <v>228.38146658777777</v>
      </c>
      <c r="R5" s="14"/>
      <c r="V5" s="3" t="s">
        <v>11</v>
      </c>
      <c r="W5" s="79">
        <v>306.04163930133336</v>
      </c>
      <c r="X5" s="79">
        <v>301.4331755</v>
      </c>
      <c r="Y5" s="78">
        <f t="shared" si="0"/>
        <v>4.6084638013333574</v>
      </c>
      <c r="Z5" s="82">
        <f t="shared" si="1"/>
        <v>1.5288508949584275E-2</v>
      </c>
    </row>
    <row r="6" spans="2:26" ht="18" customHeight="1" thickTop="1" thickBot="1">
      <c r="B6" s="260"/>
      <c r="C6" s="29" t="s">
        <v>139</v>
      </c>
      <c r="D6" s="52">
        <f t="shared" ref="D6:I6" si="2">+D3+D4+D5</f>
        <v>377.08159081000008</v>
      </c>
      <c r="E6" s="52">
        <f t="shared" si="2"/>
        <v>280.63795943000002</v>
      </c>
      <c r="F6" s="52">
        <f t="shared" si="2"/>
        <v>432.02789809000001</v>
      </c>
      <c r="G6" s="52">
        <f t="shared" si="2"/>
        <v>412.92374893999994</v>
      </c>
      <c r="H6" s="52">
        <f t="shared" si="2"/>
        <v>396.35838003000003</v>
      </c>
      <c r="I6" s="52">
        <f t="shared" si="2"/>
        <v>328.14164045000001</v>
      </c>
      <c r="J6" s="52">
        <f t="shared" ref="J6:O6" si="3">+J3+J4+J5</f>
        <v>315.30109388</v>
      </c>
      <c r="K6" s="52">
        <f t="shared" si="3"/>
        <v>233.88203189000001</v>
      </c>
      <c r="L6" s="52">
        <f t="shared" si="3"/>
        <v>349.02487653000003</v>
      </c>
      <c r="M6" s="52">
        <f t="shared" si="3"/>
        <v>368.65931550000005</v>
      </c>
      <c r="N6" s="52">
        <f t="shared" si="3"/>
        <v>365.54913150666664</v>
      </c>
      <c r="O6" s="52">
        <f t="shared" si="3"/>
        <v>305.90411129222224</v>
      </c>
      <c r="P6" s="34">
        <f>+P3+P4+P5</f>
        <v>4165.4917783488891</v>
      </c>
      <c r="R6" s="46">
        <f>+D6+E6+F6+G6+H6+I6+J6+K6+L6+M6+N6+O6</f>
        <v>4165.4917783488891</v>
      </c>
      <c r="S6" s="12">
        <f>+P6-'Consumo Aparente 2015'!R6</f>
        <v>639.90003835888911</v>
      </c>
      <c r="U6" s="12"/>
      <c r="V6" s="3" t="s">
        <v>103</v>
      </c>
      <c r="W6" s="79">
        <v>1051.3720193289998</v>
      </c>
      <c r="X6" s="79">
        <v>1048.0933441300001</v>
      </c>
      <c r="Y6" s="78">
        <f t="shared" si="0"/>
        <v>3.2786751989997356</v>
      </c>
      <c r="Z6" s="82">
        <f t="shared" si="1"/>
        <v>3.1282282416565613E-3</v>
      </c>
    </row>
    <row r="7" spans="2:26" ht="18" customHeight="1" thickTop="1" thickBot="1">
      <c r="B7" s="260"/>
      <c r="C7" s="32" t="s">
        <v>81</v>
      </c>
      <c r="D7" s="35">
        <f>+(D6-'Consumo Aparente 2015'!D6)/'Consumo Aparente 2015'!D6</f>
        <v>1.3824176164677357E-2</v>
      </c>
      <c r="E7" s="35">
        <f>+(E6-'Consumo Aparente 2015'!E6)/'Consumo Aparente 2015'!E6</f>
        <v>-0.21825841647525329</v>
      </c>
      <c r="F7" s="35">
        <f>+(F6-'Consumo Aparente 2015'!F6)/'Consumo Aparente 2015'!F6</f>
        <v>-3.4439599602448315E-2</v>
      </c>
      <c r="G7" s="35">
        <f>+(G6-'Consumo Aparente 2015'!G6)/'Consumo Aparente 2015'!G6</f>
        <v>-9.2771827712390897E-2</v>
      </c>
      <c r="H7" s="35">
        <f>+(H6-'Consumo Aparente 2015'!H6)/'Consumo Aparente 2015'!H6</f>
        <v>-2.8340658602602969E-2</v>
      </c>
      <c r="I7" s="35">
        <f>+(I6-'Consumo Aparente 2015'!I6)/'Consumo Aparente 2015'!I6</f>
        <v>-0.2846196456921235</v>
      </c>
      <c r="J7" s="35">
        <f>+(J6-'Consumo Aparente 2015'!J6)/'Consumo Aparente 2015'!J6</f>
        <v>-0.42505772252738339</v>
      </c>
      <c r="K7" s="35">
        <f>+(K6-'Consumo Aparente 2015'!K6)/'Consumo Aparente 2015'!K6</f>
        <v>-0.50973863805369546</v>
      </c>
      <c r="L7" s="35">
        <f>+(L6-'Consumo Aparente 2015'!L6)/'Consumo Aparente 2015'!L6</f>
        <v>-0.14627090058175274</v>
      </c>
      <c r="M7" s="35">
        <f>+(M6-'Consumo Aparente 2015'!M6)/'Consumo Aparente 2015'!M6</f>
        <v>-0.16187071034771705</v>
      </c>
      <c r="N7" s="35">
        <f>+(N6-'Consumo Aparente 2015'!N6)/'Consumo Aparente 2015'!N6</f>
        <v>-0.20090701613913578</v>
      </c>
      <c r="O7" s="35">
        <f>+(O6-'Consumo Aparente 2015'!O6)/'Consumo Aparente 2015'!O6</f>
        <v>-0.23408228831179323</v>
      </c>
      <c r="P7" s="35">
        <f>+(P6-'Consumo Aparente 2015'!P6)/'Consumo Aparente 2015'!P6</f>
        <v>-0.20371029136298044</v>
      </c>
      <c r="R7" s="14"/>
      <c r="V7" s="3" t="s">
        <v>104</v>
      </c>
      <c r="W7" s="79">
        <v>142.02137999999999</v>
      </c>
      <c r="X7" s="79">
        <v>139.23599999999999</v>
      </c>
      <c r="Y7" s="78">
        <f t="shared" si="0"/>
        <v>2.7853800000000035</v>
      </c>
      <c r="Z7" s="82">
        <f t="shared" si="1"/>
        <v>2.000474015340863E-2</v>
      </c>
    </row>
    <row r="8" spans="2:26" ht="18" customHeight="1" thickTop="1" thickBot="1">
      <c r="B8" s="260" t="s">
        <v>77</v>
      </c>
      <c r="C8" s="31" t="s">
        <v>65</v>
      </c>
      <c r="D8" s="34">
        <f>+'Impo 2016'!D8-'Expo 2016'!D8</f>
        <v>36.608289999999997</v>
      </c>
      <c r="E8" s="34">
        <f>+'Impo 2016'!E8-'Expo 2016'!E8</f>
        <v>35.553322999999999</v>
      </c>
      <c r="F8" s="34">
        <f>+'Impo 2016'!F8-'Expo 2016'!F8</f>
        <v>53.955437000000003</v>
      </c>
      <c r="G8" s="34">
        <f>+'Impo 2016'!G8-'Expo 2016'!G8</f>
        <v>43.533372999999997</v>
      </c>
      <c r="H8" s="34">
        <f>+'Impo 2016'!H8-'Expo 2016'!H8</f>
        <v>36.149490999999998</v>
      </c>
      <c r="I8" s="34">
        <f>+'Impo 2016'!I8-'Expo 2016'!I8</f>
        <v>45.036821000000003</v>
      </c>
      <c r="J8" s="34">
        <f>+'Impo 2016'!J8-'Expo 2016'!J8</f>
        <v>27.621949000000001</v>
      </c>
      <c r="K8" s="34">
        <f>+'Impo 2016'!K8-'Expo 2016'!K8</f>
        <v>32.124827000000003</v>
      </c>
      <c r="L8" s="34">
        <f>+'Impo 2016'!L8-'Expo 2016'!L8</f>
        <v>29.730139999999999</v>
      </c>
      <c r="M8" s="34">
        <f>+'Impo 2016'!M8-'Expo 2016'!M8</f>
        <v>31.344939</v>
      </c>
      <c r="N8" s="34">
        <f>+'Impo 2016'!N8-'Expo 2016'!N8</f>
        <v>31.314647000000001</v>
      </c>
      <c r="O8" s="34">
        <f>+'Impo 2016'!O8-'Expo 2016'!O8</f>
        <v>32.951867999999997</v>
      </c>
      <c r="P8" s="34">
        <f>+SUM(D8:O8)</f>
        <v>435.92510499999997</v>
      </c>
      <c r="R8" s="14"/>
      <c r="V8" s="3" t="s">
        <v>71</v>
      </c>
      <c r="W8" s="79">
        <v>143.75052409</v>
      </c>
      <c r="X8" s="79">
        <v>152.35054213000001</v>
      </c>
      <c r="Y8" s="78">
        <f t="shared" si="0"/>
        <v>-8.600018040000009</v>
      </c>
      <c r="Z8" s="82">
        <f t="shared" si="1"/>
        <v>-5.6448883737227881E-2</v>
      </c>
    </row>
    <row r="9" spans="2:26" ht="18" customHeight="1" thickTop="1" thickBot="1">
      <c r="B9" s="260"/>
      <c r="C9" s="29" t="s">
        <v>59</v>
      </c>
      <c r="D9" s="34">
        <f>+'Impo 2016'!D9-'Expo 2016'!D9</f>
        <v>11.339262</v>
      </c>
      <c r="E9" s="34">
        <f>+'Impo 2016'!E9-'Expo 2016'!E9</f>
        <v>11.999684</v>
      </c>
      <c r="F9" s="34">
        <f>+'Impo 2016'!F9-'Expo 2016'!F9</f>
        <v>16.605170000000001</v>
      </c>
      <c r="G9" s="34">
        <f>+'Impo 2016'!G9-'Expo 2016'!G9</f>
        <v>16.353860000000001</v>
      </c>
      <c r="H9" s="34">
        <f>+'Impo 2016'!H9-'Expo 2016'!H9</f>
        <v>15.602712</v>
      </c>
      <c r="I9" s="34">
        <f>+'Impo 2016'!I9-'Expo 2016'!I9</f>
        <v>15.462910000000001</v>
      </c>
      <c r="J9" s="34">
        <f>+'Impo 2016'!J9-'Expo 2016'!J9</f>
        <v>10.368392999999999</v>
      </c>
      <c r="K9" s="34">
        <f>+'Impo 2016'!K9-'Expo 2016'!K9</f>
        <v>19.961034000000001</v>
      </c>
      <c r="L9" s="34">
        <f>+'Impo 2016'!L9-'Expo 2016'!L9</f>
        <v>15.518632</v>
      </c>
      <c r="M9" s="34">
        <f>+'Impo 2016'!M9-'Expo 2016'!M9</f>
        <v>13.411440000000001</v>
      </c>
      <c r="N9" s="34">
        <f>+'Impo 2016'!N9-'Expo 2016'!N9</f>
        <v>23.891168</v>
      </c>
      <c r="O9" s="34">
        <f>+'Impo 2016'!O9-'Expo 2016'!O9</f>
        <v>11.111663</v>
      </c>
      <c r="P9" s="34">
        <f>+SUM(D9:O9)</f>
        <v>181.62592799999999</v>
      </c>
      <c r="R9" s="14"/>
      <c r="V9" s="36" t="s">
        <v>41</v>
      </c>
      <c r="W9" s="78">
        <v>186.1195587422223</v>
      </c>
      <c r="X9" s="78">
        <v>195.13225100999998</v>
      </c>
      <c r="Y9" s="78">
        <f t="shared" si="0"/>
        <v>-9.0126922677776804</v>
      </c>
      <c r="Z9" s="82">
        <f t="shared" si="1"/>
        <v>-4.6187609793502588E-2</v>
      </c>
    </row>
    <row r="10" spans="2:26" ht="18" customHeight="1" thickTop="1" thickBot="1">
      <c r="B10" s="260"/>
      <c r="C10" s="29" t="s">
        <v>60</v>
      </c>
      <c r="D10" s="34">
        <f>+'Impo 2016'!D10-'Expo 2016'!D10</f>
        <v>0.86087899999999995</v>
      </c>
      <c r="E10" s="34">
        <f>+'Impo 2016'!E10-'Expo 2016'!E10</f>
        <v>1.2274119999999999</v>
      </c>
      <c r="F10" s="34">
        <f>+'Impo 2016'!F10-'Expo 2016'!F10</f>
        <v>2.4161419999999998</v>
      </c>
      <c r="G10" s="34">
        <f>+'Impo 2016'!G10-'Expo 2016'!G10</f>
        <v>1.05437</v>
      </c>
      <c r="H10" s="34">
        <f>+'Impo 2016'!H10-'Expo 2016'!H10</f>
        <v>1.144363</v>
      </c>
      <c r="I10" s="34">
        <f>+'Impo 2016'!I10-'Expo 2016'!I10</f>
        <v>0.14626600000000001</v>
      </c>
      <c r="J10" s="34">
        <f>+'Impo 2016'!J10-'Expo 2016'!J10</f>
        <v>0.193962</v>
      </c>
      <c r="K10" s="34">
        <f>+'Impo 2016'!K10-'Expo 2016'!K10</f>
        <v>0.49946699999999999</v>
      </c>
      <c r="L10" s="34">
        <f>+'Impo 2016'!L10-'Expo 2016'!L10</f>
        <v>0.647559</v>
      </c>
      <c r="M10" s="34">
        <f>+'Impo 2016'!M10-'Expo 2016'!M10</f>
        <v>0.102557</v>
      </c>
      <c r="N10" s="34">
        <f>+'Impo 2016'!N10-'Expo 2016'!N10</f>
        <v>0.481487</v>
      </c>
      <c r="O10" s="34">
        <f>+'Impo 2016'!O10-'Expo 2016'!O10</f>
        <v>0.19933999999999999</v>
      </c>
      <c r="P10" s="34">
        <f>+SUM(D10:O10)</f>
        <v>8.9738039999999977</v>
      </c>
      <c r="R10" s="14"/>
      <c r="V10" s="3" t="s">
        <v>7</v>
      </c>
      <c r="W10" s="79">
        <v>58.215459827546667</v>
      </c>
      <c r="X10" s="79">
        <v>73.674916963000001</v>
      </c>
      <c r="Y10" s="78">
        <f t="shared" si="0"/>
        <v>-15.459457135453334</v>
      </c>
      <c r="Z10" s="82">
        <f t="shared" si="1"/>
        <v>-0.20983338390754033</v>
      </c>
    </row>
    <row r="11" spans="2:26" ht="18" customHeight="1" thickTop="1" thickBot="1">
      <c r="B11" s="260"/>
      <c r="C11" s="29" t="s">
        <v>139</v>
      </c>
      <c r="D11" s="34">
        <f t="shared" ref="D11:I11" si="4">+D8+D9+D10</f>
        <v>48.808430999999992</v>
      </c>
      <c r="E11" s="34">
        <f t="shared" si="4"/>
        <v>48.780419000000002</v>
      </c>
      <c r="F11" s="34">
        <f t="shared" si="4"/>
        <v>72.976748999999998</v>
      </c>
      <c r="G11" s="34">
        <f t="shared" si="4"/>
        <v>60.941602999999994</v>
      </c>
      <c r="H11" s="34">
        <f t="shared" si="4"/>
        <v>52.896565999999993</v>
      </c>
      <c r="I11" s="34">
        <f t="shared" si="4"/>
        <v>60.645997000000001</v>
      </c>
      <c r="J11" s="34">
        <f t="shared" ref="J11:O11" si="5">+J8+J9+J10</f>
        <v>38.184303999999997</v>
      </c>
      <c r="K11" s="34">
        <f t="shared" si="5"/>
        <v>52.585328000000011</v>
      </c>
      <c r="L11" s="34">
        <f t="shared" si="5"/>
        <v>45.896331000000004</v>
      </c>
      <c r="M11" s="34">
        <f t="shared" si="5"/>
        <v>44.858936</v>
      </c>
      <c r="N11" s="34">
        <f t="shared" si="5"/>
        <v>55.687302000000003</v>
      </c>
      <c r="O11" s="34">
        <f t="shared" si="5"/>
        <v>44.262870999999997</v>
      </c>
      <c r="P11" s="34">
        <f>+P8+P9+P10</f>
        <v>626.52483699999993</v>
      </c>
      <c r="R11" s="46">
        <f t="shared" ref="R11" si="6">+D11+E11+F11+G11+H11+I11+J11+K11+L11+M11+N11+O11</f>
        <v>626.52483700000005</v>
      </c>
      <c r="S11" s="12">
        <f>+P11-'Consumo Aparente 2015'!R11</f>
        <v>250.50740322999997</v>
      </c>
      <c r="U11" s="12"/>
      <c r="V11" s="3" t="s">
        <v>10</v>
      </c>
      <c r="W11" s="79">
        <v>103.75795880933336</v>
      </c>
      <c r="X11" s="79">
        <v>121.5790289</v>
      </c>
      <c r="Y11" s="78">
        <f t="shared" si="0"/>
        <v>-17.821070090666637</v>
      </c>
      <c r="Z11" s="82">
        <f t="shared" si="1"/>
        <v>-0.14658013188544755</v>
      </c>
    </row>
    <row r="12" spans="2:26" ht="18" customHeight="1" thickTop="1" thickBot="1">
      <c r="B12" s="260"/>
      <c r="C12" s="32" t="s">
        <v>81</v>
      </c>
      <c r="D12" s="35">
        <f>+(D11-'Consumo Aparente 2015'!D11)/'Consumo Aparente 2015'!D11</f>
        <v>-6.3805712570959655E-2</v>
      </c>
      <c r="E12" s="35">
        <f>+(E11-'Consumo Aparente 2015'!E11)/'Consumo Aparente 2015'!E11</f>
        <v>0.11344094154109249</v>
      </c>
      <c r="F12" s="35">
        <f>+(F11-'Consumo Aparente 2015'!F11)/'Consumo Aparente 2015'!F11</f>
        <v>0.36590991757042657</v>
      </c>
      <c r="G12" s="35">
        <f>+(G11-'Consumo Aparente 2015'!G11)/'Consumo Aparente 2015'!G11</f>
        <v>0.33177758268077195</v>
      </c>
      <c r="H12" s="35">
        <f>+(H11-'Consumo Aparente 2015'!H11)/'Consumo Aparente 2015'!H11</f>
        <v>8.7957839082422433E-3</v>
      </c>
      <c r="I12" s="35">
        <f>+(I11-'Consumo Aparente 2015'!I11)/'Consumo Aparente 2015'!I11</f>
        <v>0.48097543950317079</v>
      </c>
      <c r="J12" s="35">
        <f>+(J11-'Consumo Aparente 2015'!J11)/'Consumo Aparente 2015'!J11</f>
        <v>-0.31498654736159026</v>
      </c>
      <c r="K12" s="35">
        <f>+(K11-'Consumo Aparente 2015'!K11)/'Consumo Aparente 2015'!K11</f>
        <v>0.65584610290177048</v>
      </c>
      <c r="L12" s="35">
        <f>+(L11-'Consumo Aparente 2015'!L11)/'Consumo Aparente 2015'!L11</f>
        <v>-9.5928749801357197E-2</v>
      </c>
      <c r="M12" s="35">
        <f>+(M11-'Consumo Aparente 2015'!M11)/'Consumo Aparente 2015'!M11</f>
        <v>-0.20130129714145942</v>
      </c>
      <c r="N12" s="35">
        <f>+(N11-'Consumo Aparente 2015'!N11)/'Consumo Aparente 2015'!N11</f>
        <v>0.19188841593073475</v>
      </c>
      <c r="O12" s="35">
        <f>+(O11-'Consumo Aparente 2015'!O11)/'Consumo Aparente 2015'!O11</f>
        <v>-0.13588534743053854</v>
      </c>
      <c r="P12" s="35">
        <f>+(P11-'Consumo Aparente 2015'!P11)/'Consumo Aparente 2015'!P11</f>
        <v>7.8552729386299258E-2</v>
      </c>
      <c r="Q12" s="35"/>
      <c r="R12" s="14"/>
      <c r="V12" s="2" t="s">
        <v>2</v>
      </c>
      <c r="W12" s="78">
        <v>1380.5040335599999</v>
      </c>
      <c r="X12" s="78">
        <v>1399.0800440600001</v>
      </c>
      <c r="Y12" s="78">
        <f t="shared" si="0"/>
        <v>-18.576010500000166</v>
      </c>
      <c r="Z12" s="82">
        <f t="shared" si="1"/>
        <v>-1.3277303595936022E-2</v>
      </c>
    </row>
    <row r="13" spans="2:26" ht="18" customHeight="1" thickTop="1" thickBot="1">
      <c r="B13" s="260" t="s">
        <v>42</v>
      </c>
      <c r="C13" s="31" t="s">
        <v>65</v>
      </c>
      <c r="D13" s="34">
        <f>+'Producción Laminados 2016'!D8+'Impo 2016'!D13-'Expo 2016'!D13</f>
        <v>590.17399999999998</v>
      </c>
      <c r="E13" s="34">
        <f>+'Producción Laminados 2016'!E8+'Impo 2016'!E13-'Expo 2016'!E13</f>
        <v>674.803</v>
      </c>
      <c r="F13" s="34">
        <f>+'Producción Laminados 2016'!F8+'Impo 2016'!F13-'Expo 2016'!F13</f>
        <v>656.74900000000002</v>
      </c>
      <c r="G13" s="34">
        <f>+'Producción Laminados 2016'!G8+'Impo 2016'!G13-'Expo 2016'!G13</f>
        <v>676.41499999999996</v>
      </c>
      <c r="H13" s="34">
        <f>+'Producción Laminados 2016'!H8+'Impo 2016'!H13-'Expo 2016'!H13</f>
        <v>759.63499999999999</v>
      </c>
      <c r="I13" s="34">
        <f>+'Producción Laminados 2016'!I8+'Impo 2016'!I13-'Expo 2016'!I13</f>
        <v>636.46600000000001</v>
      </c>
      <c r="J13" s="34">
        <f>+'Producción Laminados 2016'!J8+'Impo 2016'!J13-'Expo 2016'!J13</f>
        <v>662.34199999999998</v>
      </c>
      <c r="K13" s="34">
        <f>+'Producción Laminados 2016'!K8+'Impo 2016'!K13-'Expo 2016'!K13</f>
        <v>678.46500000000003</v>
      </c>
      <c r="L13" s="34">
        <f>+'Producción Laminados 2016'!L8+'Impo 2016'!L13-'Expo 2016'!L13</f>
        <v>638.38700000000006</v>
      </c>
      <c r="M13" s="34">
        <f>+'Producción Laminados 2016'!M8+'Impo 2016'!M13-'Expo 2016'!M13</f>
        <v>654.62299999999993</v>
      </c>
      <c r="N13" s="34">
        <f>+'Producción Laminados 2016'!N8+'Impo 2016'!N13-'Expo 2016'!N13</f>
        <v>572.91100000000006</v>
      </c>
      <c r="O13" s="34">
        <f>+'Producción Laminados 2016'!O8+'Impo 2016'!O13-'Expo 2016'!O13</f>
        <v>267</v>
      </c>
      <c r="P13" s="34">
        <f>+SUM(D13:O13)</f>
        <v>7467.9699999999993</v>
      </c>
      <c r="R13" s="14"/>
      <c r="V13" s="3" t="s">
        <v>5</v>
      </c>
      <c r="W13" s="79">
        <v>275.08772669466669</v>
      </c>
      <c r="X13" s="79">
        <v>294.72719649999999</v>
      </c>
      <c r="Y13" s="78">
        <f t="shared" si="0"/>
        <v>-19.639469805333306</v>
      </c>
      <c r="Z13" s="82">
        <f t="shared" si="1"/>
        <v>-6.6636096154544411E-2</v>
      </c>
    </row>
    <row r="14" spans="2:26" ht="18" customHeight="1" thickTop="1" thickBot="1">
      <c r="B14" s="260"/>
      <c r="C14" s="29" t="s">
        <v>59</v>
      </c>
      <c r="D14" s="34">
        <f>+'Producción Laminados 2016'!D9+'Impo 2016'!D14-'Expo 2016'!D14</f>
        <v>760.67100000000005</v>
      </c>
      <c r="E14" s="34">
        <f>+'Producción Laminados 2016'!E9+'Impo 2016'!E14-'Expo 2016'!E14</f>
        <v>686.90699999999993</v>
      </c>
      <c r="F14" s="34">
        <f>+'Producción Laminados 2016'!F9+'Impo 2016'!F14-'Expo 2016'!F14</f>
        <v>728.72500000000002</v>
      </c>
      <c r="G14" s="34">
        <f>+'Producción Laminados 2016'!G9+'Impo 2016'!G14-'Expo 2016'!G14</f>
        <v>652.08899999999994</v>
      </c>
      <c r="H14" s="34">
        <f>+'Producción Laminados 2016'!H9+'Impo 2016'!H14-'Expo 2016'!H14</f>
        <v>799.91700000000003</v>
      </c>
      <c r="I14" s="34">
        <f>+'Producción Laminados 2016'!I9+'Impo 2016'!I14-'Expo 2016'!I14</f>
        <v>758.09299999999996</v>
      </c>
      <c r="J14" s="34">
        <f>+'Producción Laminados 2016'!J9+'Impo 2016'!J14-'Expo 2016'!J14</f>
        <v>967.04500000000007</v>
      </c>
      <c r="K14" s="34">
        <f>+'Producción Laminados 2016'!K9+'Impo 2016'!K14-'Expo 2016'!K14</f>
        <v>913.10899999999992</v>
      </c>
      <c r="L14" s="34">
        <f>+'Producción Laminados 2016'!L9+'Impo 2016'!L14-'Expo 2016'!L14</f>
        <v>789.65000000000009</v>
      </c>
      <c r="M14" s="34">
        <f>+'Producción Laminados 2016'!M9+'Impo 2016'!M14-'Expo 2016'!M14</f>
        <v>1194.365</v>
      </c>
      <c r="N14" s="34">
        <f>+'Producción Laminados 2016'!N9+'Impo 2016'!N14-'Expo 2016'!N14</f>
        <v>979.42499999999995</v>
      </c>
      <c r="O14" s="34">
        <f>+'Producción Laminados 2016'!O9+'Impo 2016'!O14-'Expo 2016'!O14</f>
        <v>903</v>
      </c>
      <c r="P14" s="34">
        <f>+SUM(D14:O14)</f>
        <v>10132.995999999999</v>
      </c>
      <c r="R14" s="14"/>
      <c r="V14" s="3" t="s">
        <v>6</v>
      </c>
      <c r="W14" s="79">
        <v>80.88546546884001</v>
      </c>
      <c r="X14" s="79">
        <v>101.02712749999999</v>
      </c>
      <c r="Y14" s="78">
        <f t="shared" si="0"/>
        <v>-20.141662031159981</v>
      </c>
      <c r="Z14" s="82">
        <f t="shared" si="1"/>
        <v>-0.19936884804687716</v>
      </c>
    </row>
    <row r="15" spans="2:26" ht="18" customHeight="1" thickTop="1" thickBot="1">
      <c r="B15" s="260"/>
      <c r="C15" s="29" t="s">
        <v>60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+SUM(D15:O15)</f>
        <v>0</v>
      </c>
      <c r="R15" s="14"/>
      <c r="V15" s="2" t="s">
        <v>1</v>
      </c>
      <c r="W15" s="78">
        <v>877.70162534999884</v>
      </c>
      <c r="X15" s="78">
        <v>931.7461107700002</v>
      </c>
      <c r="Y15" s="78">
        <f t="shared" si="0"/>
        <v>-54.044485420001365</v>
      </c>
      <c r="Z15" s="82">
        <f t="shared" si="1"/>
        <v>-5.8003446212765729E-2</v>
      </c>
    </row>
    <row r="16" spans="2:26" ht="18" customHeight="1" thickTop="1" thickBot="1">
      <c r="B16" s="260"/>
      <c r="C16" s="29" t="s">
        <v>139</v>
      </c>
      <c r="D16" s="34">
        <v>1336</v>
      </c>
      <c r="E16" s="34">
        <v>1365</v>
      </c>
      <c r="F16" s="34">
        <v>1650</v>
      </c>
      <c r="G16" s="34">
        <v>1494</v>
      </c>
      <c r="H16" s="34">
        <v>1538</v>
      </c>
      <c r="I16" s="34">
        <v>1580</v>
      </c>
      <c r="J16" s="34">
        <v>1504</v>
      </c>
      <c r="K16" s="34">
        <v>1591</v>
      </c>
      <c r="L16" s="34">
        <v>1622</v>
      </c>
      <c r="M16" s="34">
        <v>1605</v>
      </c>
      <c r="N16" s="34">
        <v>1536</v>
      </c>
      <c r="O16" s="34">
        <v>1396</v>
      </c>
      <c r="P16" s="34">
        <f>+SUM(D16:O16)</f>
        <v>18217</v>
      </c>
      <c r="R16" s="46">
        <f t="shared" ref="R16" si="7">+D16+E16+F16+G16+H16+I16+J16+K16+L16+M16+N16+O16</f>
        <v>18217</v>
      </c>
      <c r="S16" s="12">
        <f>+P16-'Consumo Aparente 2015'!R16</f>
        <v>3010</v>
      </c>
      <c r="U16" s="12"/>
      <c r="V16" s="3" t="s">
        <v>4</v>
      </c>
      <c r="W16" s="79">
        <v>500.96061943999996</v>
      </c>
      <c r="X16" s="79">
        <v>579.33392511</v>
      </c>
      <c r="Y16" s="78">
        <f t="shared" si="0"/>
        <v>-78.373305670000036</v>
      </c>
      <c r="Z16" s="82">
        <f t="shared" si="1"/>
        <v>-0.13528174731890427</v>
      </c>
    </row>
    <row r="17" spans="2:26" ht="18" customHeight="1" thickTop="1" thickBot="1">
      <c r="B17" s="260"/>
      <c r="C17" s="32" t="s">
        <v>81</v>
      </c>
      <c r="D17" s="35">
        <f>+(D16-'Consumo Aparente 2015'!D16)/'Consumo Aparente 2015'!D16</f>
        <v>-0.34765625</v>
      </c>
      <c r="E17" s="35">
        <f>+(E16-'Consumo Aparente 2015'!E16)/'Consumo Aparente 2015'!E16</f>
        <v>-0.27161152614727857</v>
      </c>
      <c r="F17" s="35">
        <f>+(F16-'Consumo Aparente 2015'!F16)/'Consumo Aparente 2015'!F16</f>
        <v>-0.25842696629213485</v>
      </c>
      <c r="G17" s="35">
        <f>+(G16-'Consumo Aparente 2015'!G16)/'Consumo Aparente 2015'!G16</f>
        <v>-0.24277749619868222</v>
      </c>
      <c r="H17" s="35">
        <f>+(H16-'Consumo Aparente 2015'!H16)/'Consumo Aparente 2015'!H16</f>
        <v>-0.15772179627601315</v>
      </c>
      <c r="I17" s="35">
        <f>+(I16-'Consumo Aparente 2015'!I16)/'Consumo Aparente 2015'!I16</f>
        <v>-0.12026726057906459</v>
      </c>
      <c r="J17" s="35">
        <f>+(J16-'Consumo Aparente 2015'!J16)/'Consumo Aparente 2015'!J16</f>
        <v>-0.1111111111111111</v>
      </c>
      <c r="K17" s="35">
        <f>+(K16-'Consumo Aparente 2015'!K16)/'Consumo Aparente 2015'!K16</f>
        <v>-0.10265087422447829</v>
      </c>
      <c r="L17" s="35">
        <f>+(L16-'Consumo Aparente 2015'!L16)/'Consumo Aparente 2015'!L16</f>
        <v>-4.868035190615836E-2</v>
      </c>
      <c r="M17" s="35">
        <f>+(M16-'Consumo Aparente 2015'!M16)/'Consumo Aparente 2015'!M16</f>
        <v>-2.1341463414634148E-2</v>
      </c>
      <c r="N17" s="35">
        <f>+(N16-'Consumo Aparente 2015'!N16)/'Consumo Aparente 2015'!N16</f>
        <v>2.3317788141239172E-2</v>
      </c>
      <c r="O17" s="35">
        <f>+(O16-'Consumo Aparente 2015'!O16)/'Consumo Aparente 2015'!O16</f>
        <v>0.12762520193861066</v>
      </c>
      <c r="P17" s="35">
        <f>+(P16-'Consumo Aparente 2015'!P16)/'Consumo Aparente 2015'!P16</f>
        <v>-0.14438025456765768</v>
      </c>
      <c r="R17" s="14"/>
      <c r="V17" s="2" t="s">
        <v>0</v>
      </c>
      <c r="W17" s="78">
        <v>1488.9301072403478</v>
      </c>
      <c r="X17" s="78">
        <v>1633.51672414</v>
      </c>
      <c r="Y17" s="78">
        <f t="shared" si="0"/>
        <v>-144.5866168996522</v>
      </c>
      <c r="Z17" s="82">
        <f t="shared" si="1"/>
        <v>-8.8512480321113904E-2</v>
      </c>
    </row>
    <row r="18" spans="2:26" ht="18" customHeight="1" thickTop="1" thickBot="1">
      <c r="B18" s="260" t="s">
        <v>1</v>
      </c>
      <c r="C18" s="31" t="s">
        <v>65</v>
      </c>
      <c r="D18" s="34">
        <f>+'Producción Laminados 2016'!D13+'Impo 2016'!D18-'Expo 2016'!D18</f>
        <v>150.89870471</v>
      </c>
      <c r="E18" s="34">
        <f>+'Producción Laminados 2016'!E13+'Impo 2016'!E18-'Expo 2016'!E18</f>
        <v>107.15559927999946</v>
      </c>
      <c r="F18" s="34">
        <f>+'Producción Laminados 2016'!F13+'Impo 2016'!F18-'Expo 2016'!F18</f>
        <v>118.17523288999995</v>
      </c>
      <c r="G18" s="34">
        <f>+'Producción Laminados 2016'!G13+'Impo 2016'!G18-'Expo 2016'!G18</f>
        <v>104.79252319999937</v>
      </c>
      <c r="H18" s="34">
        <f>+'Producción Laminados 2016'!H13+'Impo 2016'!H18-'Expo 2016'!H18</f>
        <v>143.06606157999957</v>
      </c>
      <c r="I18" s="34">
        <f>+'Producción Laminados 2016'!I13+'Impo 2016'!I18-'Expo 2016'!I18</f>
        <v>113.97089522999931</v>
      </c>
      <c r="J18" s="34">
        <f>+'Producción Laminados 2016'!J13+'Impo 2016'!J18-'Expo 2016'!J18</f>
        <v>124.98133872000025</v>
      </c>
      <c r="K18" s="34">
        <f>+'Producción Laminados 2016'!K13+'Impo 2016'!K18-'Expo 2016'!K18</f>
        <v>107.08743279999965</v>
      </c>
      <c r="L18" s="34">
        <f>+'Producción Laminados 2016'!L13+'Impo 2016'!L18-'Expo 2016'!L18</f>
        <v>101.58731285000006</v>
      </c>
      <c r="M18" s="34">
        <f>+'Producción Laminados 2016'!M13+'Impo 2016'!M18-'Expo 2016'!M18</f>
        <v>123.97153936999939</v>
      </c>
      <c r="N18" s="34">
        <f>+'Producción Laminados 2016'!N13+'Impo 2016'!N18-'Expo 2016'!N18</f>
        <v>119.12576070999972</v>
      </c>
      <c r="O18" s="34">
        <f>+'Producción Laminados 2016'!O13+'Impo 2016'!O18-'Expo 2016'!O18</f>
        <v>93.47092962600027</v>
      </c>
      <c r="P18" s="34">
        <f>+SUM(D18:O18)</f>
        <v>1408.283330965997</v>
      </c>
      <c r="R18" s="14"/>
      <c r="V18" s="2" t="s">
        <v>3</v>
      </c>
      <c r="W18" s="78">
        <v>208.76366666666667</v>
      </c>
      <c r="X18" s="78">
        <v>1110.3081178800003</v>
      </c>
      <c r="Y18" s="78">
        <f t="shared" si="0"/>
        <v>-901.54445121333356</v>
      </c>
      <c r="Z18" s="82">
        <f t="shared" si="1"/>
        <v>-0.81197681679093203</v>
      </c>
    </row>
    <row r="19" spans="2:26" ht="18" customHeight="1" thickTop="1" thickBot="1">
      <c r="B19" s="260"/>
      <c r="C19" s="29" t="s">
        <v>59</v>
      </c>
      <c r="D19" s="34">
        <f>+'Producción Laminados 2016'!D14+'Impo 2016'!D19-'Expo 2016'!D19</f>
        <v>104.86065912000005</v>
      </c>
      <c r="E19" s="34">
        <f>+'Producción Laminados 2016'!E14+'Impo 2016'!E19-'Expo 2016'!E19</f>
        <v>101.78527369000001</v>
      </c>
      <c r="F19" s="34">
        <f>+'Producción Laminados 2016'!F14+'Impo 2016'!F19-'Expo 2016'!F19</f>
        <v>116.42910715999992</v>
      </c>
      <c r="G19" s="34">
        <f>+'Producción Laminados 2016'!G14+'Impo 2016'!G19-'Expo 2016'!G19</f>
        <v>67.758183739999993</v>
      </c>
      <c r="H19" s="34">
        <f>+'Producción Laminados 2016'!H14+'Impo 2016'!H19-'Expo 2016'!H19</f>
        <v>99.67916756999999</v>
      </c>
      <c r="I19" s="34">
        <f>+'Producción Laminados 2016'!I14+'Impo 2016'!I19-'Expo 2016'!I19</f>
        <v>97.86554842999999</v>
      </c>
      <c r="J19" s="34">
        <f>+'Producción Laminados 2016'!J14+'Impo 2016'!J19-'Expo 2016'!J19</f>
        <v>59.75094858999995</v>
      </c>
      <c r="K19" s="34">
        <f>+'Producción Laminados 2016'!K14+'Impo 2016'!K19-'Expo 2016'!K19</f>
        <v>119.23904335999997</v>
      </c>
      <c r="L19" s="34">
        <f>+'Producción Laminados 2016'!L14+'Impo 2016'!L19-'Expo 2016'!L19</f>
        <v>126.58864596000004</v>
      </c>
      <c r="M19" s="34">
        <f>+'Producción Laminados 2016'!M14+'Impo 2016'!M19-'Expo 2016'!M19</f>
        <v>79.693868930000036</v>
      </c>
      <c r="N19" s="34">
        <f>+'Producción Laminados 2016'!N14+'Impo 2016'!N19-'Expo 2016'!N19</f>
        <v>109.58961590999999</v>
      </c>
      <c r="O19" s="34">
        <f>+'Producción Laminados 2016'!O14+'Impo 2016'!O19-'Expo 2016'!O19</f>
        <v>97.392993300000015</v>
      </c>
      <c r="P19" s="34">
        <f>+SUM(D19:O19)</f>
        <v>1180.6330557599999</v>
      </c>
      <c r="R19" s="14"/>
      <c r="V19" s="2" t="s">
        <v>101</v>
      </c>
      <c r="W19" s="78">
        <v>5843</v>
      </c>
      <c r="X19" s="78">
        <v>8319.5259999999998</v>
      </c>
      <c r="Y19" s="78">
        <f t="shared" si="0"/>
        <v>-2476.5259999999998</v>
      </c>
      <c r="Z19" s="82">
        <f t="shared" si="1"/>
        <v>-0.29767633396421861</v>
      </c>
    </row>
    <row r="20" spans="2:26" ht="18" customHeight="1" thickTop="1" thickBot="1">
      <c r="B20" s="260"/>
      <c r="C20" s="29" t="s">
        <v>60</v>
      </c>
      <c r="D20" s="34">
        <f>+'Producción Laminados 2016'!D15+'Impo 2016'!D20-'Expo 2016'!D20</f>
        <v>1.4759820699999999</v>
      </c>
      <c r="E20" s="34">
        <f>+'Producción Laminados 2016'!E15+'Impo 2016'!E20-'Expo 2016'!E20</f>
        <v>1.5337844999999994</v>
      </c>
      <c r="F20" s="34">
        <f>+'Producción Laminados 2016'!F15+'Impo 2016'!F20-'Expo 2016'!F20</f>
        <v>1.9110101300000017</v>
      </c>
      <c r="G20" s="34">
        <f>+'Producción Laminados 2016'!G15+'Impo 2016'!G20-'Expo 2016'!G20</f>
        <v>0.92556485999999971</v>
      </c>
      <c r="H20" s="34">
        <f>+'Producción Laminados 2016'!H15+'Impo 2016'!H20-'Expo 2016'!H20</f>
        <v>1.5525741000000013</v>
      </c>
      <c r="I20" s="34">
        <f>+'Producción Laminados 2016'!I15+'Impo 2016'!I20-'Expo 2016'!I20</f>
        <v>1.0589172099999997</v>
      </c>
      <c r="J20" s="34">
        <f>+'Producción Laminados 2016'!J15+'Impo 2016'!J20-'Expo 2016'!J20</f>
        <v>3.0209299600000015</v>
      </c>
      <c r="K20" s="34">
        <f>+'Producción Laminados 2016'!K15+'Impo 2016'!K20-'Expo 2016'!K20</f>
        <v>0.88862342000000016</v>
      </c>
      <c r="L20" s="34">
        <f>+'Producción Laminados 2016'!L15+'Impo 2016'!L20-'Expo 2016'!L20</f>
        <v>1.41961235</v>
      </c>
      <c r="M20" s="34">
        <f>+'Producción Laminados 2016'!M15+'Impo 2016'!M20-'Expo 2016'!M20</f>
        <v>2.0147802299999999</v>
      </c>
      <c r="N20" s="34">
        <f>+'Producción Laminados 2016'!N15+'Impo 2016'!N20-'Expo 2016'!N20</f>
        <v>1.0315675199999998</v>
      </c>
      <c r="O20" s="34">
        <f>+'Producción Laminados 2016'!O15+'Impo 2016'!O20-'Expo 2016'!O20</f>
        <v>1.2150473700000002</v>
      </c>
      <c r="P20" s="34">
        <f>+SUM(D20:O20)</f>
        <v>18.048393720000004</v>
      </c>
      <c r="R20" s="14"/>
      <c r="V20" s="3" t="s">
        <v>105</v>
      </c>
      <c r="W20" s="79">
        <v>20553.194023950957</v>
      </c>
      <c r="X20" s="79">
        <v>24585.481216451</v>
      </c>
      <c r="Y20" s="78">
        <f>W20-X20</f>
        <v>-4032.2871925000436</v>
      </c>
      <c r="Z20" s="82">
        <f t="shared" si="1"/>
        <v>-0.1640109118467</v>
      </c>
    </row>
    <row r="21" spans="2:26" ht="18" customHeight="1" thickTop="1" thickBot="1">
      <c r="B21" s="260"/>
      <c r="C21" s="29" t="s">
        <v>139</v>
      </c>
      <c r="D21" s="34">
        <f t="shared" ref="D21:I21" si="8">+D18+D19+D20</f>
        <v>257.23534590000003</v>
      </c>
      <c r="E21" s="34">
        <f t="shared" si="8"/>
        <v>210.47465746999947</v>
      </c>
      <c r="F21" s="34">
        <f t="shared" si="8"/>
        <v>236.51535017999984</v>
      </c>
      <c r="G21" s="34">
        <f t="shared" si="8"/>
        <v>173.47627179999938</v>
      </c>
      <c r="H21" s="34">
        <f t="shared" si="8"/>
        <v>244.29780324999956</v>
      </c>
      <c r="I21" s="34">
        <f t="shared" si="8"/>
        <v>212.89536086999931</v>
      </c>
      <c r="J21" s="34">
        <f t="shared" ref="J21:O21" si="9">+J18+J19+J20</f>
        <v>187.75321727000019</v>
      </c>
      <c r="K21" s="34">
        <f t="shared" si="9"/>
        <v>227.21509957999962</v>
      </c>
      <c r="L21" s="34">
        <f t="shared" si="9"/>
        <v>229.59557116000011</v>
      </c>
      <c r="M21" s="34">
        <f t="shared" si="9"/>
        <v>205.68018852999944</v>
      </c>
      <c r="N21" s="34">
        <f t="shared" si="9"/>
        <v>229.74694413999973</v>
      </c>
      <c r="O21" s="34">
        <f t="shared" si="9"/>
        <v>192.07897029600028</v>
      </c>
      <c r="P21" s="34">
        <f>+P18+P19+P20</f>
        <v>2606.9647804459969</v>
      </c>
      <c r="R21" s="46">
        <f t="shared" ref="R21" si="10">+D21+E21+F21+G21+H21+I21+J21+K21+L21+M21+N21+O21</f>
        <v>2606.9647804459973</v>
      </c>
      <c r="S21" s="12">
        <f>+P21-'Consumo Aparente 2015'!R21</f>
        <v>691.45975121599645</v>
      </c>
      <c r="U21" s="12"/>
      <c r="Y21" s="78"/>
    </row>
    <row r="22" spans="2:26" ht="18" customHeight="1" thickTop="1" thickBot="1">
      <c r="B22" s="260"/>
      <c r="C22" s="32" t="s">
        <v>81</v>
      </c>
      <c r="D22" s="35">
        <f>+(D21-'Consumo Aparente 2015'!D21)/'Consumo Aparente 2015'!D21</f>
        <v>7.6169906756428764E-3</v>
      </c>
      <c r="E22" s="35">
        <f>+(E21-'Consumo Aparente 2015'!E21)/'Consumo Aparente 2015'!E21</f>
        <v>0.11332932618792425</v>
      </c>
      <c r="F22" s="35">
        <f>+(F21-'Consumo Aparente 2015'!F21)/'Consumo Aparente 2015'!F21</f>
        <v>1.1412373965910152E-2</v>
      </c>
      <c r="G22" s="35">
        <f>+(G21-'Consumo Aparente 2015'!G21)/'Consumo Aparente 2015'!G21</f>
        <v>-0.31583451006982949</v>
      </c>
      <c r="H22" s="35">
        <f>+(H21-'Consumo Aparente 2015'!H21)/'Consumo Aparente 2015'!H21</f>
        <v>5.0652048745401766E-2</v>
      </c>
      <c r="I22" s="35">
        <f>+(I21-'Consumo Aparente 2015'!I21)/'Consumo Aparente 2015'!I21</f>
        <v>0.22550569067528481</v>
      </c>
      <c r="J22" s="35">
        <f>+(J21-'Consumo Aparente 2015'!J21)/'Consumo Aparente 2015'!J21</f>
        <v>-0.49268691118385549</v>
      </c>
      <c r="K22" s="35">
        <f>+(K21-'Consumo Aparente 2015'!K21)/'Consumo Aparente 2015'!K21</f>
        <v>9.5408787922965962E-2</v>
      </c>
      <c r="L22" s="35">
        <f>+(L21-'Consumo Aparente 2015'!L21)/'Consumo Aparente 2015'!L21</f>
        <v>3.3125255354676557E-5</v>
      </c>
      <c r="M22" s="35">
        <f>+(M21-'Consumo Aparente 2015'!M21)/'Consumo Aparente 2015'!M21</f>
        <v>-0.14620231140783624</v>
      </c>
      <c r="N22" s="35">
        <f>+(N21-'Consumo Aparente 2015'!N21)/'Consumo Aparente 2015'!N21</f>
        <v>-1.3103831743363624E-2</v>
      </c>
      <c r="O22" s="35">
        <f>+(O21-'Consumo Aparente 2015'!O21)/'Consumo Aparente 2015'!O21</f>
        <v>-5.3038387482848989E-2</v>
      </c>
      <c r="P22" s="35">
        <f>+(P21-'Consumo Aparente 2015'!P21)/'Consumo Aparente 2015'!P21</f>
        <v>-7.6077783662036755E-2</v>
      </c>
      <c r="R22" s="14"/>
      <c r="Y22" s="78"/>
    </row>
    <row r="23" spans="2:26" ht="18" customHeight="1" thickTop="1" thickBot="1">
      <c r="B23" s="260" t="s">
        <v>2</v>
      </c>
      <c r="C23" s="31" t="s">
        <v>65</v>
      </c>
      <c r="D23" s="34">
        <v>215.46696329000002</v>
      </c>
      <c r="E23" s="34">
        <v>218.78010351</v>
      </c>
      <c r="F23" s="34">
        <v>210.70188220000003</v>
      </c>
      <c r="G23" s="34">
        <v>177.36888971000002</v>
      </c>
      <c r="H23" s="34">
        <v>192.12966806999998</v>
      </c>
      <c r="I23" s="34">
        <v>210.71490744999997</v>
      </c>
      <c r="J23" s="34">
        <v>164.15986609000004</v>
      </c>
      <c r="K23" s="34">
        <v>188.68435787999999</v>
      </c>
      <c r="L23" s="34">
        <v>198.30495511000001</v>
      </c>
      <c r="M23" s="34">
        <v>176.92592083</v>
      </c>
      <c r="N23" s="34">
        <v>174.36808798000001</v>
      </c>
      <c r="O23" s="34">
        <v>203.24589478000001</v>
      </c>
      <c r="P23" s="34">
        <f>+SUM(D23:O23)</f>
        <v>2330.8514969000003</v>
      </c>
      <c r="R23" s="14"/>
      <c r="Y23" s="78"/>
    </row>
    <row r="24" spans="2:26" ht="18" customHeight="1" thickTop="1" thickBot="1">
      <c r="B24" s="260"/>
      <c r="C24" s="29" t="s">
        <v>59</v>
      </c>
      <c r="D24" s="34">
        <v>96.844727510000027</v>
      </c>
      <c r="E24" s="34">
        <v>128.05850161000001</v>
      </c>
      <c r="F24" s="34">
        <v>96.552577859999985</v>
      </c>
      <c r="G24" s="34">
        <v>98.111670250000003</v>
      </c>
      <c r="H24" s="34">
        <v>99.102135680000032</v>
      </c>
      <c r="I24" s="34">
        <v>113.21787882000001</v>
      </c>
      <c r="J24" s="34">
        <v>78.59906045999999</v>
      </c>
      <c r="K24" s="34">
        <v>125.99483360000001</v>
      </c>
      <c r="L24" s="34">
        <v>115.30663690999998</v>
      </c>
      <c r="M24" s="34">
        <v>103.30250139999998</v>
      </c>
      <c r="N24" s="34">
        <v>110.53401313999996</v>
      </c>
      <c r="O24" s="34">
        <v>101.12480868</v>
      </c>
      <c r="P24" s="34">
        <f>+SUM(D24:O24)</f>
        <v>1266.74934592</v>
      </c>
      <c r="R24" s="14"/>
      <c r="Y24" s="78"/>
    </row>
    <row r="25" spans="2:26" ht="18" customHeight="1" thickTop="1" thickBot="1">
      <c r="B25" s="260"/>
      <c r="C25" s="29" t="s">
        <v>60</v>
      </c>
      <c r="D25" s="34">
        <v>9.4475217300000054</v>
      </c>
      <c r="E25" s="34">
        <v>4.8015570200000015</v>
      </c>
      <c r="F25" s="34">
        <v>3.0892706500000005</v>
      </c>
      <c r="G25" s="34">
        <v>1.4185312300000001</v>
      </c>
      <c r="H25" s="34">
        <v>5.3046546799999987</v>
      </c>
      <c r="I25" s="34">
        <v>2.6995886000000016</v>
      </c>
      <c r="J25" s="34">
        <v>4.1888960299999995</v>
      </c>
      <c r="K25" s="34">
        <v>4.5960158400000006</v>
      </c>
      <c r="L25" s="34">
        <v>3.5564315400000002</v>
      </c>
      <c r="M25" s="34">
        <v>5.6540095599999969</v>
      </c>
      <c r="N25" s="34">
        <v>8.8347005400000054</v>
      </c>
      <c r="O25" s="34">
        <v>9.2830408000000073</v>
      </c>
      <c r="P25" s="34">
        <f>+SUM(D25:O25)</f>
        <v>62.874218220000017</v>
      </c>
      <c r="R25" s="14"/>
      <c r="Y25" s="78"/>
    </row>
    <row r="26" spans="2:26" ht="18" customHeight="1" thickTop="1" thickBot="1">
      <c r="B26" s="260"/>
      <c r="C26" s="29" t="s">
        <v>139</v>
      </c>
      <c r="D26" s="52">
        <f>+D23+D24+D25</f>
        <v>321.75921253000007</v>
      </c>
      <c r="E26" s="52">
        <f>+E23+E24+E25</f>
        <v>351.64016214000003</v>
      </c>
      <c r="F26" s="52">
        <f>+F23+F24+F25</f>
        <v>310.34373071000005</v>
      </c>
      <c r="G26" s="52">
        <f>+G23+G24+G25</f>
        <v>276.89909119000004</v>
      </c>
      <c r="H26" s="52">
        <f>+H23+H24+H25</f>
        <v>296.53645843000004</v>
      </c>
      <c r="I26" s="52">
        <f t="shared" ref="I26:O26" si="11">+I23+I24+I25</f>
        <v>326.63237486999998</v>
      </c>
      <c r="J26" s="52">
        <f t="shared" si="11"/>
        <v>246.94782258000001</v>
      </c>
      <c r="K26" s="52">
        <f t="shared" si="11"/>
        <v>319.27520731999999</v>
      </c>
      <c r="L26" s="52">
        <f t="shared" si="11"/>
        <v>317.16802355999999</v>
      </c>
      <c r="M26" s="52">
        <f t="shared" si="11"/>
        <v>285.88243179</v>
      </c>
      <c r="N26" s="52">
        <f t="shared" si="11"/>
        <v>293.73680166000003</v>
      </c>
      <c r="O26" s="52">
        <f t="shared" si="11"/>
        <v>313.65374426</v>
      </c>
      <c r="P26" s="34">
        <f>+P23+P24+P25</f>
        <v>3660.4750610400001</v>
      </c>
      <c r="R26" s="46">
        <f t="shared" ref="R26" si="12">+D26+E26+F26+G26+H26+I26+J26+K26+L26+M26+N26+O26</f>
        <v>3660.4750610400001</v>
      </c>
      <c r="S26" s="12">
        <f>+P26-'Consumo Aparente 2015'!R26</f>
        <v>1044.6203527600001</v>
      </c>
      <c r="U26" s="12"/>
      <c r="Y26" s="78"/>
    </row>
    <row r="27" spans="2:26" ht="18" customHeight="1" thickTop="1" thickBot="1">
      <c r="B27" s="260"/>
      <c r="C27" s="32" t="s">
        <v>81</v>
      </c>
      <c r="D27" s="35">
        <f>+(D26-'Consumo Aparente 2015'!D26)/'Consumo Aparente 2015'!D26</f>
        <v>-8.7654165517845398E-2</v>
      </c>
      <c r="E27" s="35">
        <f>+(E26-'Consumo Aparente 2015'!E26)/'Consumo Aparente 2015'!E26</f>
        <v>0.15146079558353517</v>
      </c>
      <c r="F27" s="35">
        <f>+(F26-'Consumo Aparente 2015'!F26)/'Consumo Aparente 2015'!F26</f>
        <v>2.9390980111543379E-2</v>
      </c>
      <c r="G27" s="35">
        <f>+(G26-'Consumo Aparente 2015'!G26)/'Consumo Aparente 2015'!G26</f>
        <v>-7.6992678270290174E-2</v>
      </c>
      <c r="H27" s="35">
        <f>+(H26-'Consumo Aparente 2015'!H26)/'Consumo Aparente 2015'!H26</f>
        <v>-0.11600589287215865</v>
      </c>
      <c r="I27" s="35">
        <f>+(I26-'Consumo Aparente 2015'!I26)/'Consumo Aparente 2015'!I26</f>
        <v>-4.5088029835707776E-2</v>
      </c>
      <c r="J27" s="35">
        <f>+(J26-'Consumo Aparente 2015'!J26)/'Consumo Aparente 2015'!J26</f>
        <v>-0.27725448447495715</v>
      </c>
      <c r="K27" s="35">
        <f>+(K26-'Consumo Aparente 2015'!K26)/'Consumo Aparente 2015'!K26</f>
        <v>-5.2963397938964547E-2</v>
      </c>
      <c r="L27" s="35">
        <f>+(L26-'Consumo Aparente 2015'!L26)/'Consumo Aparente 2015'!L26</f>
        <v>-0.13436296284276772</v>
      </c>
      <c r="M27" s="35">
        <f>+(M26-'Consumo Aparente 2015'!M26)/'Consumo Aparente 2015'!M26</f>
        <v>-0.40708033416334705</v>
      </c>
      <c r="N27" s="35">
        <f>+(N26-'Consumo Aparente 2015'!N26)/'Consumo Aparente 2015'!N26</f>
        <v>-4.1043320230334773E-2</v>
      </c>
      <c r="O27" s="35">
        <f>+(O26-'Consumo Aparente 2015'!O26)/'Consumo Aparente 2015'!O26</f>
        <v>0.20158448739782825</v>
      </c>
      <c r="P27" s="35">
        <f>+(P26-'Consumo Aparente 2015'!P26)/'Consumo Aparente 2015'!P26</f>
        <v>-9.2089086591202116E-2</v>
      </c>
      <c r="R27" s="14"/>
      <c r="Y27" s="78"/>
    </row>
    <row r="28" spans="2:26" s="3" customFormat="1" ht="18" customHeight="1" thickTop="1" thickBot="1">
      <c r="B28" s="260" t="s">
        <v>5</v>
      </c>
      <c r="C28" s="31" t="s">
        <v>65</v>
      </c>
      <c r="D28" s="34">
        <f>+'Producción Laminados 2016'!D23+'Impo 2016'!D28-'Expo 2016'!D28</f>
        <v>36.052600000000005</v>
      </c>
      <c r="E28" s="34">
        <f>+'Producción Laminados 2016'!E23+'Impo 2016'!E28-'Expo 2016'!E28</f>
        <v>35.265767150000002</v>
      </c>
      <c r="F28" s="34">
        <f>+'Producción Laminados 2016'!F23+'Impo 2016'!F28-'Expo 2016'!F28</f>
        <v>39.664806371000005</v>
      </c>
      <c r="G28" s="34">
        <f>+'Producción Laminados 2016'!G23+'Impo 2016'!G28-'Expo 2016'!G28</f>
        <v>37.365669840333339</v>
      </c>
      <c r="H28" s="34">
        <f>+'Producción Laminados 2016'!H23+'Impo 2016'!H28-'Expo 2016'!H28</f>
        <v>43.18974045377778</v>
      </c>
      <c r="I28" s="34">
        <f>+'Producción Laminados 2016'!I23+'Impo 2016'!I28-'Expo 2016'!I28</f>
        <v>34.010439999999996</v>
      </c>
      <c r="J28" s="34">
        <f>+'Producción Laminados 2016'!J23+'Impo 2016'!J28-'Expo 2016'!J28</f>
        <v>43.399535</v>
      </c>
      <c r="K28" s="34">
        <f>+'Producción Laminados 2016'!K23+'Impo 2016'!K28-'Expo 2016'!K28</f>
        <v>42.315134973587305</v>
      </c>
      <c r="L28" s="34">
        <f>+'Producción Laminados 2016'!L23+'Impo 2016'!L28-'Expo 2016'!L28</f>
        <v>36.362237999999998</v>
      </c>
      <c r="M28" s="34">
        <f>+'Producción Laminados 2016'!M23+'Impo 2016'!M28-'Expo 2016'!M28</f>
        <v>42.616692519814059</v>
      </c>
      <c r="N28" s="34">
        <f>+'Producción Laminados 2016'!N23+'Impo 2016'!N28-'Expo 2016'!N28</f>
        <v>33.690891000000001</v>
      </c>
      <c r="O28" s="34">
        <f>+'Producción Laminados 2016'!O23+'Impo 2016'!O28-'Expo 2016'!O28</f>
        <v>46.360963173271358</v>
      </c>
      <c r="P28" s="34">
        <f>+SUM(D28:O28)</f>
        <v>470.29447848178381</v>
      </c>
      <c r="R28" s="14"/>
      <c r="S28" s="2"/>
      <c r="T28" s="2"/>
      <c r="U28" s="2"/>
      <c r="Y28" s="79"/>
      <c r="Z28" s="83"/>
    </row>
    <row r="29" spans="2:26" s="3" customFormat="1" ht="18" customHeight="1" thickTop="1" thickBot="1">
      <c r="B29" s="260"/>
      <c r="C29" s="29" t="s">
        <v>59</v>
      </c>
      <c r="D29" s="34">
        <f>+'Producción Laminados 2016'!D24+'Impo 2016'!D29-'Expo 2016'!D29</f>
        <v>23.031407999999999</v>
      </c>
      <c r="E29" s="34">
        <f>+'Producción Laminados 2016'!E24+'Impo 2016'!E29-'Expo 2016'!E29</f>
        <v>30.927223999999999</v>
      </c>
      <c r="F29" s="34">
        <f>+'Producción Laminados 2016'!F24+'Impo 2016'!F29-'Expo 2016'!F29</f>
        <v>40.604709</v>
      </c>
      <c r="G29" s="34">
        <f>+'Producción Laminados 2016'!G24+'Impo 2016'!G29-'Expo 2016'!G29</f>
        <v>11.657962999999999</v>
      </c>
      <c r="H29" s="34">
        <f>+'Producción Laminados 2016'!H24+'Impo 2016'!H29-'Expo 2016'!H29</f>
        <v>22.062947000000001</v>
      </c>
      <c r="I29" s="34">
        <f>+'Producción Laminados 2016'!I24+'Impo 2016'!I29-'Expo 2016'!I29</f>
        <v>24.789181000000003</v>
      </c>
      <c r="J29" s="34">
        <f>+'Producción Laminados 2016'!J24+'Impo 2016'!J29-'Expo 2016'!J29</f>
        <v>28.311975</v>
      </c>
      <c r="K29" s="34">
        <f>+'Producción Laminados 2016'!K24+'Impo 2016'!K29-'Expo 2016'!K29</f>
        <v>20.559573</v>
      </c>
      <c r="L29" s="34">
        <f>+'Producción Laminados 2016'!L24+'Impo 2016'!L29-'Expo 2016'!L29</f>
        <v>44.618455000000004</v>
      </c>
      <c r="M29" s="34">
        <f>+'Producción Laminados 2016'!M24+'Impo 2016'!M29-'Expo 2016'!M29</f>
        <v>18.619107999999997</v>
      </c>
      <c r="N29" s="34">
        <f>+'Producción Laminados 2016'!N24+'Impo 2016'!N29-'Expo 2016'!N29</f>
        <v>30.261487000000002</v>
      </c>
      <c r="O29" s="34">
        <f>+'Producción Laminados 2016'!O24+'Impo 2016'!O29-'Expo 2016'!O29</f>
        <v>35.283757000000001</v>
      </c>
      <c r="P29" s="34">
        <f>+SUM(D29:O29)</f>
        <v>330.72778699999998</v>
      </c>
      <c r="R29" s="14"/>
      <c r="S29" s="2"/>
      <c r="T29" s="2"/>
      <c r="U29" s="2"/>
      <c r="Y29" s="79"/>
      <c r="Z29" s="83"/>
    </row>
    <row r="30" spans="2:26" s="3" customFormat="1" ht="18" customHeight="1" thickTop="1" thickBot="1">
      <c r="B30" s="260"/>
      <c r="C30" s="29" t="s">
        <v>60</v>
      </c>
      <c r="D30" s="34">
        <f>+'Producción Laminados 2016'!D25+'Impo 2016'!D30-'Expo 2016'!D30</f>
        <v>0.28500799999999998</v>
      </c>
      <c r="E30" s="34">
        <f>+'Producción Laminados 2016'!E25+'Impo 2016'!E30-'Expo 2016'!E30</f>
        <v>0.153279</v>
      </c>
      <c r="F30" s="34">
        <f>+'Producción Laminados 2016'!F25+'Impo 2016'!F30-'Expo 2016'!F30</f>
        <v>0.398617</v>
      </c>
      <c r="G30" s="34">
        <f>+'Producción Laminados 2016'!G25+'Impo 2016'!G30-'Expo 2016'!G30</f>
        <v>0.30133100000000002</v>
      </c>
      <c r="H30" s="34">
        <f>+'Producción Laminados 2016'!H25+'Impo 2016'!H30-'Expo 2016'!H30</f>
        <v>0.33337099999999997</v>
      </c>
      <c r="I30" s="34">
        <f>+'Producción Laminados 2016'!I25+'Impo 2016'!I30-'Expo 2016'!I30</f>
        <v>0.27995300000000001</v>
      </c>
      <c r="J30" s="34">
        <f>+'Producción Laminados 2016'!J25+'Impo 2016'!J30-'Expo 2016'!J30</f>
        <v>0.35619200000000001</v>
      </c>
      <c r="K30" s="34">
        <f>+'Producción Laminados 2016'!K25+'Impo 2016'!K30-'Expo 2016'!K30</f>
        <v>0.454953</v>
      </c>
      <c r="L30" s="34">
        <f>+'Producción Laminados 2016'!L25+'Impo 2016'!L30-'Expo 2016'!L30</f>
        <v>0.10600899999999999</v>
      </c>
      <c r="M30" s="34">
        <f>+'Producción Laminados 2016'!M25+'Impo 2016'!M30-'Expo 2016'!M30</f>
        <v>0.25276500000000002</v>
      </c>
      <c r="N30" s="34">
        <f>+'Producción Laminados 2016'!N25+'Impo 2016'!N30-'Expo 2016'!N30</f>
        <v>0.16914699999999999</v>
      </c>
      <c r="O30" s="34">
        <f>+'Producción Laminados 2016'!O25+'Impo 2016'!O30-'Expo 2016'!O30</f>
        <v>0.175624</v>
      </c>
      <c r="P30" s="34">
        <f>+SUM(D30:O30)</f>
        <v>3.2662490000000002</v>
      </c>
      <c r="R30" s="14"/>
      <c r="S30" s="2"/>
      <c r="T30" s="2"/>
      <c r="U30" s="2"/>
      <c r="Y30" s="79"/>
      <c r="Z30" s="83"/>
    </row>
    <row r="31" spans="2:26" s="3" customFormat="1" ht="18" customHeight="1" thickTop="1" thickBot="1">
      <c r="B31" s="260"/>
      <c r="C31" s="29" t="s">
        <v>139</v>
      </c>
      <c r="D31" s="52">
        <f t="shared" ref="D31:I31" si="13">+D28+D29+D30</f>
        <v>59.369016000000002</v>
      </c>
      <c r="E31" s="52">
        <f t="shared" si="13"/>
        <v>66.346270149999995</v>
      </c>
      <c r="F31" s="52">
        <f t="shared" si="13"/>
        <v>80.668132371000013</v>
      </c>
      <c r="G31" s="52">
        <f t="shared" si="13"/>
        <v>49.324963840333332</v>
      </c>
      <c r="H31" s="52">
        <f t="shared" si="13"/>
        <v>65.586058453777781</v>
      </c>
      <c r="I31" s="52">
        <f t="shared" si="13"/>
        <v>59.079574000000001</v>
      </c>
      <c r="J31" s="52">
        <f t="shared" ref="J31:O31" si="14">+J28+J29+J30</f>
        <v>72.067701999999997</v>
      </c>
      <c r="K31" s="52">
        <f t="shared" si="14"/>
        <v>63.329660973587309</v>
      </c>
      <c r="L31" s="52">
        <f t="shared" si="14"/>
        <v>81.086702000000002</v>
      </c>
      <c r="M31" s="52">
        <f t="shared" si="14"/>
        <v>61.488565519814053</v>
      </c>
      <c r="N31" s="52">
        <f t="shared" si="14"/>
        <v>64.121525000000005</v>
      </c>
      <c r="O31" s="52">
        <f t="shared" si="14"/>
        <v>81.820344173271366</v>
      </c>
      <c r="P31" s="34">
        <f>+P28+P29+P30</f>
        <v>804.28851448178375</v>
      </c>
      <c r="R31" s="46">
        <f t="shared" ref="R31" si="15">+D31+E31+F31+G31+H31+I31+J31+K31+L31+M31+N31+O31</f>
        <v>804.28851448178386</v>
      </c>
      <c r="S31" s="12">
        <f>+P31-'Consumo Aparente 2015'!R31</f>
        <v>257.23217288178375</v>
      </c>
      <c r="T31" s="2"/>
      <c r="U31" s="12"/>
      <c r="Y31" s="79"/>
      <c r="Z31" s="83"/>
    </row>
    <row r="32" spans="2:26" s="3" customFormat="1" ht="18" customHeight="1" thickTop="1" thickBot="1">
      <c r="B32" s="260"/>
      <c r="C32" s="32" t="s">
        <v>81</v>
      </c>
      <c r="D32" s="35">
        <f>+(D31-'Consumo Aparente 2015'!D31)/'Consumo Aparente 2015'!D31</f>
        <v>-0.16271666264189544</v>
      </c>
      <c r="E32" s="35">
        <f>+(E31-'Consumo Aparente 2015'!E31)/'Consumo Aparente 2015'!E31</f>
        <v>-3.1735861870224098E-2</v>
      </c>
      <c r="F32" s="35">
        <f>+(F31-'Consumo Aparente 2015'!F31)/'Consumo Aparente 2015'!F31</f>
        <v>-1.1027019954595971E-2</v>
      </c>
      <c r="G32" s="35">
        <f>+(G31-'Consumo Aparente 2015'!G31)/'Consumo Aparente 2015'!G31</f>
        <v>-0.33102417981974014</v>
      </c>
      <c r="H32" s="35">
        <f>+(H31-'Consumo Aparente 2015'!H31)/'Consumo Aparente 2015'!H31</f>
        <v>-4.6427195507823878E-2</v>
      </c>
      <c r="I32" s="35">
        <f>+(I31-'Consumo Aparente 2015'!I31)/'Consumo Aparente 2015'!I31</f>
        <v>-4.9171659994543752E-2</v>
      </c>
      <c r="J32" s="35">
        <f>+(J31-'Consumo Aparente 2015'!J31)/'Consumo Aparente 2015'!J31</f>
        <v>0.19342934511121862</v>
      </c>
      <c r="K32" s="35">
        <f>+(K31-'Consumo Aparente 2015'!K31)/'Consumo Aparente 2015'!K31</f>
        <v>3.7715870919640751E-2</v>
      </c>
      <c r="L32" s="35">
        <f>+(L31-'Consumo Aparente 2015'!L31)/'Consumo Aparente 2015'!L31</f>
        <v>4.3932625434800761E-2</v>
      </c>
      <c r="M32" s="35">
        <f>+(M31-'Consumo Aparente 2015'!M31)/'Consumo Aparente 2015'!M31</f>
        <v>-0.1859259197862691</v>
      </c>
      <c r="N32" s="35">
        <f>+(N31-'Consumo Aparente 2015'!N31)/'Consumo Aparente 2015'!N31</f>
        <v>-6.224584205424933E-2</v>
      </c>
      <c r="O32" s="35">
        <f>+(O31-'Consumo Aparente 2015'!O31)/'Consumo Aparente 2015'!O31</f>
        <v>-0.21059397938256733</v>
      </c>
      <c r="P32" s="35">
        <f>+(P31-'Consumo Aparente 2015'!P31)/'Consumo Aparente 2015'!P31</f>
        <v>-7.7955584633011193E-2</v>
      </c>
      <c r="R32" s="14"/>
      <c r="S32" s="2"/>
      <c r="T32" s="2"/>
      <c r="U32" s="2"/>
      <c r="Y32" s="79"/>
      <c r="Z32" s="83"/>
    </row>
    <row r="33" spans="2:26" s="3" customFormat="1" ht="18" customHeight="1" thickTop="1" thickBot="1">
      <c r="B33" s="260" t="s">
        <v>4</v>
      </c>
      <c r="C33" s="31" t="s">
        <v>65</v>
      </c>
      <c r="D33" s="34">
        <f>+'Producción Laminados 2016'!D33+'Impo 2016'!D33-'Expo 2016'!D33</f>
        <v>83.970832979999997</v>
      </c>
      <c r="E33" s="34">
        <f>+'Producción Laminados 2016'!E33+'Impo 2016'!E33-'Expo 2016'!E33</f>
        <v>68.027936439999991</v>
      </c>
      <c r="F33" s="34">
        <f>+'Producción Laminados 2016'!F33+'Impo 2016'!F33-'Expo 2016'!F33</f>
        <v>77.783550989999995</v>
      </c>
      <c r="G33" s="34">
        <f>+'Producción Laminados 2016'!G33+'Impo 2016'!G33-'Expo 2016'!G33</f>
        <v>63.049672860000001</v>
      </c>
      <c r="H33" s="34">
        <f>+'Producción Laminados 2016'!H33+'Impo 2016'!H33-'Expo 2016'!H33</f>
        <v>69.568469473333323</v>
      </c>
      <c r="I33" s="34">
        <f>+'Producción Laminados 2016'!I33+'Impo 2016'!I33-'Expo 2016'!I33</f>
        <v>71.708869304444448</v>
      </c>
      <c r="J33" s="34">
        <f>+'Producción Laminados 2016'!J33+'Impo 2016'!J33-'Expo 2016'!J33</f>
        <v>72.833303949259303</v>
      </c>
      <c r="K33" s="34">
        <f>+'Producción Laminados 2016'!K33+'Impo 2016'!K33-'Expo 2016'!K33</f>
        <v>77.360678563862436</v>
      </c>
      <c r="L33" s="34">
        <f>+'Producción Laminados 2016'!L33+'Impo 2016'!L33-'Expo 2016'!L33</f>
        <v>84.222017194414207</v>
      </c>
      <c r="M33" s="34">
        <f>+'Producción Laminados 2016'!M33+'Impo 2016'!M33-'Expo 2016'!M33</f>
        <v>86.817960779999979</v>
      </c>
      <c r="N33" s="34">
        <f>+'Producción Laminados 2016'!N33+'Impo 2016'!N33-'Expo 2016'!N33</f>
        <v>67.921749527901952</v>
      </c>
      <c r="O33" s="34">
        <f>+'Producción Laminados 2016'!O33+'Impo 2016'!O33-'Expo 2016'!O33</f>
        <v>73.180183170772068</v>
      </c>
      <c r="P33" s="34">
        <f>+SUM(D33:O33)</f>
        <v>896.44522523398768</v>
      </c>
      <c r="R33" s="14"/>
      <c r="S33" s="2"/>
      <c r="T33" s="2"/>
      <c r="U33" s="2"/>
      <c r="Y33" s="79"/>
      <c r="Z33" s="83"/>
    </row>
    <row r="34" spans="2:26" s="3" customFormat="1" ht="18" customHeight="1" thickTop="1" thickBot="1">
      <c r="B34" s="260"/>
      <c r="C34" s="29" t="s">
        <v>59</v>
      </c>
      <c r="D34" s="34">
        <f>+'Producción Laminados 2016'!D34+'Impo 2016'!D34-'Expo 2016'!D34</f>
        <v>53.736853300000021</v>
      </c>
      <c r="E34" s="34">
        <f>+'Producción Laminados 2016'!E34+'Impo 2016'!E34-'Expo 2016'!E34</f>
        <v>59.907070629999986</v>
      </c>
      <c r="F34" s="34">
        <f>+'Producción Laminados 2016'!F34+'Impo 2016'!F34-'Expo 2016'!F34</f>
        <v>57.691435580000011</v>
      </c>
      <c r="G34" s="34">
        <f>+'Producción Laminados 2016'!G34+'Impo 2016'!G34-'Expo 2016'!G34</f>
        <v>45.020783529999989</v>
      </c>
      <c r="H34" s="34">
        <f>+'Producción Laminados 2016'!H34+'Impo 2016'!H34-'Expo 2016'!H34</f>
        <v>54.068030729999975</v>
      </c>
      <c r="I34" s="34">
        <f>+'Producción Laminados 2016'!I34+'Impo 2016'!I34-'Expo 2016'!I34</f>
        <v>32.699964879999982</v>
      </c>
      <c r="J34" s="34">
        <f>+'Producción Laminados 2016'!J34+'Impo 2016'!J34-'Expo 2016'!J34</f>
        <v>29.095566869999978</v>
      </c>
      <c r="K34" s="34">
        <f>+'Producción Laminados 2016'!K34+'Impo 2016'!K34-'Expo 2016'!K34</f>
        <v>45.444021700000022</v>
      </c>
      <c r="L34" s="34">
        <f>+'Producción Laminados 2016'!L34+'Impo 2016'!L34-'Expo 2016'!L34</f>
        <v>52.544537240000004</v>
      </c>
      <c r="M34" s="34">
        <f>+'Producción Laminados 2016'!M34+'Impo 2016'!M34-'Expo 2016'!M34</f>
        <v>48.016420429999989</v>
      </c>
      <c r="N34" s="34">
        <f>+'Producción Laminados 2016'!N34+'Impo 2016'!N34-'Expo 2016'!N34</f>
        <v>68.82956673999999</v>
      </c>
      <c r="O34" s="34">
        <f>+'Producción Laminados 2016'!O34+'Impo 2016'!O34-'Expo 2016'!O34</f>
        <v>58.933624210000019</v>
      </c>
      <c r="P34" s="34">
        <f>+SUM(D34:O34)</f>
        <v>605.98787584000002</v>
      </c>
      <c r="R34" s="14"/>
      <c r="S34" s="2"/>
      <c r="T34" s="2"/>
      <c r="U34" s="2"/>
      <c r="Y34" s="79"/>
      <c r="Z34" s="83"/>
    </row>
    <row r="35" spans="2:26" s="3" customFormat="1" ht="18" customHeight="1" thickTop="1" thickBot="1">
      <c r="B35" s="260"/>
      <c r="C35" s="29" t="s">
        <v>60</v>
      </c>
      <c r="D35" s="34">
        <f>+'Producción Laminados 2016'!D35+'Impo 2016'!D35-'Expo 2016'!D35</f>
        <v>3.4394100299999995</v>
      </c>
      <c r="E35" s="34">
        <f>+'Producción Laminados 2016'!E35+'Impo 2016'!E35-'Expo 2016'!E35</f>
        <v>11.918681169999996</v>
      </c>
      <c r="F35" s="34">
        <f>+'Producción Laminados 2016'!F35+'Impo 2016'!F35-'Expo 2016'!F35</f>
        <v>3.3932057200000001</v>
      </c>
      <c r="G35" s="34">
        <f>+'Producción Laminados 2016'!G35+'Impo 2016'!G35-'Expo 2016'!G35</f>
        <v>2.8231700800000001</v>
      </c>
      <c r="H35" s="34">
        <f>+'Producción Laminados 2016'!H35+'Impo 2016'!H35-'Expo 2016'!H35</f>
        <v>6.0516932199999989</v>
      </c>
      <c r="I35" s="34">
        <f>+'Producción Laminados 2016'!I35+'Impo 2016'!I35-'Expo 2016'!I35</f>
        <v>0.83303434999999992</v>
      </c>
      <c r="J35" s="34">
        <f>+'Producción Laminados 2016'!J35+'Impo 2016'!J35-'Expo 2016'!J35</f>
        <v>5.5255405200000034</v>
      </c>
      <c r="K35" s="34">
        <f>+'Producción Laminados 2016'!K35+'Impo 2016'!K35-'Expo 2016'!K35</f>
        <v>3.565497790000002</v>
      </c>
      <c r="L35" s="34">
        <f>+'Producción Laminados 2016'!L35+'Impo 2016'!L35-'Expo 2016'!L35</f>
        <v>10.322407699999999</v>
      </c>
      <c r="M35" s="34">
        <f>+'Producción Laminados 2016'!M35+'Impo 2016'!M35-'Expo 2016'!M35</f>
        <v>8.2054383700000031</v>
      </c>
      <c r="N35" s="34">
        <f>+'Producción Laminados 2016'!N35+'Impo 2016'!N35-'Expo 2016'!N35</f>
        <v>1.6058229899999992</v>
      </c>
      <c r="O35" s="34">
        <f>+'Producción Laminados 2016'!O35+'Impo 2016'!O35-'Expo 2016'!O35</f>
        <v>5.6986159200000053</v>
      </c>
      <c r="P35" s="34">
        <f>+SUM(D35:O35)</f>
        <v>63.382517860000007</v>
      </c>
      <c r="R35" s="14"/>
      <c r="S35" s="2"/>
      <c r="T35" s="2"/>
      <c r="U35" s="2"/>
      <c r="Y35" s="79"/>
      <c r="Z35" s="83"/>
    </row>
    <row r="36" spans="2:26" s="3" customFormat="1" ht="18" customHeight="1" thickTop="1" thickBot="1">
      <c r="B36" s="260"/>
      <c r="C36" s="29" t="s">
        <v>139</v>
      </c>
      <c r="D36" s="52">
        <f t="shared" ref="D36:I36" si="16">+D33+D34+D35</f>
        <v>141.14709631000002</v>
      </c>
      <c r="E36" s="52">
        <f t="shared" si="16"/>
        <v>139.85368823999997</v>
      </c>
      <c r="F36" s="52">
        <f t="shared" si="16"/>
        <v>138.86819229</v>
      </c>
      <c r="G36" s="52">
        <f t="shared" si="16"/>
        <v>110.89362646999999</v>
      </c>
      <c r="H36" s="52">
        <f t="shared" si="16"/>
        <v>129.6881934233333</v>
      </c>
      <c r="I36" s="52">
        <f t="shared" si="16"/>
        <v>105.24186853444444</v>
      </c>
      <c r="J36" s="52">
        <f t="shared" ref="J36:O36" si="17">+J33+J34+J35</f>
        <v>107.45441133925929</v>
      </c>
      <c r="K36" s="52">
        <f t="shared" si="17"/>
        <v>126.37019805386245</v>
      </c>
      <c r="L36" s="52">
        <f t="shared" si="17"/>
        <v>147.0889621344142</v>
      </c>
      <c r="M36" s="52">
        <f t="shared" si="17"/>
        <v>143.03981957999997</v>
      </c>
      <c r="N36" s="52">
        <f t="shared" si="17"/>
        <v>138.35713925790193</v>
      </c>
      <c r="O36" s="52">
        <f t="shared" si="17"/>
        <v>137.81242330077208</v>
      </c>
      <c r="P36" s="34">
        <f>+P33+P34+P35</f>
        <v>1565.8156189339877</v>
      </c>
      <c r="R36" s="46">
        <f t="shared" ref="R36" si="18">+D36+E36+F36+G36+H36+I36+J36+K36+L36+M36+N36+O36</f>
        <v>1565.8156189339875</v>
      </c>
      <c r="S36" s="12">
        <f>+P36-'Consumo Aparente 2015'!R36</f>
        <v>406.92169963398783</v>
      </c>
      <c r="T36" s="2"/>
      <c r="U36" s="12"/>
      <c r="Y36" s="79"/>
      <c r="Z36" s="83"/>
    </row>
    <row r="37" spans="2:26" s="3" customFormat="1" ht="18" customHeight="1" thickTop="1" thickBot="1">
      <c r="B37" s="260"/>
      <c r="C37" s="32" t="s">
        <v>81</v>
      </c>
      <c r="D37" s="35">
        <f>+(D36-'Consumo Aparente 2015'!D36)/'Consumo Aparente 2015'!D36</f>
        <v>-4.6696380119351524E-2</v>
      </c>
      <c r="E37" s="35">
        <f>+(E36-'Consumo Aparente 2015'!E36)/'Consumo Aparente 2015'!E36</f>
        <v>0.13650000363637871</v>
      </c>
      <c r="F37" s="35">
        <f>+(F36-'Consumo Aparente 2015'!F36)/'Consumo Aparente 2015'!F36</f>
        <v>-0.21282949637212215</v>
      </c>
      <c r="G37" s="35">
        <f>+(G36-'Consumo Aparente 2015'!G36)/'Consumo Aparente 2015'!G36</f>
        <v>-0.15863511894381091</v>
      </c>
      <c r="H37" s="35">
        <f>+(H36-'Consumo Aparente 2015'!H36)/'Consumo Aparente 2015'!H36</f>
        <v>-0.23001540271100074</v>
      </c>
      <c r="I37" s="35">
        <f>+(I36-'Consumo Aparente 2015'!I36)/'Consumo Aparente 2015'!I36</f>
        <v>-0.11327549159129346</v>
      </c>
      <c r="J37" s="35">
        <f>+(J36-'Consumo Aparente 2015'!J36)/'Consumo Aparente 2015'!J36</f>
        <v>-0.29725175783322177</v>
      </c>
      <c r="K37" s="35">
        <f>+(K36-'Consumo Aparente 2015'!K36)/'Consumo Aparente 2015'!K36</f>
        <v>-9.4369228102387917E-2</v>
      </c>
      <c r="L37" s="35">
        <f>+(L36-'Consumo Aparente 2015'!L36)/'Consumo Aparente 2015'!L36</f>
        <v>4.1124430359631675E-2</v>
      </c>
      <c r="M37" s="35">
        <f>+(M36-'Consumo Aparente 2015'!M36)/'Consumo Aparente 2015'!M36</f>
        <v>1.8489769545332235E-3</v>
      </c>
      <c r="N37" s="35">
        <f>+(N36-'Consumo Aparente 2015'!N36)/'Consumo Aparente 2015'!N36</f>
        <v>2.966348003473113E-2</v>
      </c>
      <c r="O37" s="35">
        <f>+(O36-'Consumo Aparente 2015'!O36)/'Consumo Aparente 2015'!O36</f>
        <v>0.11786253239258937</v>
      </c>
      <c r="P37" s="35">
        <f>+(P36-'Consumo Aparente 2015'!P36)/'Consumo Aparente 2015'!P36</f>
        <v>-7.9258040623901488E-2</v>
      </c>
      <c r="R37" s="14"/>
      <c r="S37" s="2"/>
      <c r="T37" s="2"/>
      <c r="U37" s="2"/>
      <c r="Y37" s="79"/>
      <c r="Z37" s="83"/>
    </row>
    <row r="38" spans="2:26" s="3" customFormat="1" ht="18" customHeight="1" thickTop="1" thickBot="1">
      <c r="B38" s="260" t="s">
        <v>10</v>
      </c>
      <c r="C38" s="31" t="s">
        <v>65</v>
      </c>
      <c r="D38" s="34">
        <f>+'Producción Laminados 2016'!D38+'Impo 2016'!D38-'Expo 2016'!D38</f>
        <v>15.880147616000002</v>
      </c>
      <c r="E38" s="34">
        <f>+'Producción Laminados 2016'!E38+'Impo 2016'!E38-'Expo 2016'!E38</f>
        <v>15.021201930000004</v>
      </c>
      <c r="F38" s="34">
        <f>+'Producción Laminados 2016'!F38+'Impo 2016'!F38-'Expo 2016'!F38</f>
        <v>15.731164020999998</v>
      </c>
      <c r="G38" s="34">
        <f>+'Producción Laminados 2016'!G38+'Impo 2016'!G38-'Expo 2016'!G38</f>
        <v>12.192787102333341</v>
      </c>
      <c r="H38" s="34">
        <f>+'Producción Laminados 2016'!H38+'Impo 2016'!H38-'Expo 2016'!H38</f>
        <v>12.4183577</v>
      </c>
      <c r="I38" s="34">
        <f>+'Producción Laminados 2016'!I38+'Impo 2016'!I38-'Expo 2016'!I38</f>
        <v>15.449961437777773</v>
      </c>
      <c r="J38" s="34">
        <f>+'Producción Laminados 2016'!J38+'Impo 2016'!J38-'Expo 2016'!J38</f>
        <v>23.605227940000006</v>
      </c>
      <c r="K38" s="34">
        <f>+'Producción Laminados 2016'!K38+'Impo 2016'!K38-'Expo 2016'!K38</f>
        <v>21.952798478158734</v>
      </c>
      <c r="L38" s="34">
        <f>+'Producción Laminados 2016'!L38+'Impo 2016'!L38-'Expo 2016'!L38</f>
        <v>9.6562355699999998</v>
      </c>
      <c r="M38" s="34">
        <f>+'Producción Laminados 2016'!M38+'Impo 2016'!M38-'Expo 2016'!M38</f>
        <v>13.386081167038547</v>
      </c>
      <c r="N38" s="34">
        <f>+'Producción Laminados 2016'!N38+'Impo 2016'!N38-'Expo 2016'!N38</f>
        <v>16.542508009999999</v>
      </c>
      <c r="O38" s="34">
        <f>+'Producción Laminados 2016'!O38+'Impo 2016'!O38-'Expo 2016'!O38</f>
        <v>9.0031495000000028</v>
      </c>
      <c r="P38" s="34">
        <f>+SUM(D38:O38)</f>
        <v>180.83962047230844</v>
      </c>
      <c r="R38" s="14"/>
      <c r="S38" s="2"/>
      <c r="T38" s="2"/>
      <c r="U38" s="2"/>
      <c r="Y38" s="79"/>
      <c r="Z38" s="83"/>
    </row>
    <row r="39" spans="2:26" s="3" customFormat="1" ht="18" customHeight="1" thickTop="1" thickBot="1">
      <c r="B39" s="260"/>
      <c r="C39" s="29" t="s">
        <v>59</v>
      </c>
      <c r="D39" s="34">
        <f>+'Producción Laminados 2016'!D39+'Impo 2016'!D39-'Expo 2016'!D39</f>
        <v>12.68649069000001</v>
      </c>
      <c r="E39" s="34">
        <f>+'Producción Laminados 2016'!E39+'Impo 2016'!E39-'Expo 2016'!E39</f>
        <v>15.119696320000003</v>
      </c>
      <c r="F39" s="34">
        <f>+'Producción Laminados 2016'!F39+'Impo 2016'!F39-'Expo 2016'!F39</f>
        <v>5.741537189999999</v>
      </c>
      <c r="G39" s="34">
        <f>+'Producción Laminados 2016'!G39+'Impo 2016'!G39-'Expo 2016'!G39</f>
        <v>10.667695110000004</v>
      </c>
      <c r="H39" s="34">
        <f>+'Producción Laminados 2016'!H39+'Impo 2016'!H39-'Expo 2016'!H39</f>
        <v>6.5283973000000017</v>
      </c>
      <c r="I39" s="34">
        <f>+'Producción Laminados 2016'!I39+'Impo 2016'!I39-'Expo 2016'!I39</f>
        <v>19.818772250000002</v>
      </c>
      <c r="J39" s="34">
        <f>+'Producción Laminados 2016'!J39+'Impo 2016'!J39-'Expo 2016'!J39</f>
        <v>1.6892245799999985</v>
      </c>
      <c r="K39" s="34">
        <f>+'Producción Laminados 2016'!K39+'Impo 2016'!K39-'Expo 2016'!K39</f>
        <v>14.371982949999996</v>
      </c>
      <c r="L39" s="34">
        <f>+'Producción Laminados 2016'!L39+'Impo 2016'!L39-'Expo 2016'!L39</f>
        <v>4.4514823200000047</v>
      </c>
      <c r="M39" s="34">
        <f>+'Producción Laminados 2016'!M39+'Impo 2016'!M39-'Expo 2016'!M39</f>
        <v>21.199163719999998</v>
      </c>
      <c r="N39" s="34">
        <f>+'Producción Laminados 2016'!N39+'Impo 2016'!N39-'Expo 2016'!N39</f>
        <v>14.038669449999997</v>
      </c>
      <c r="O39" s="34">
        <f>+'Producción Laminados 2016'!O39+'Impo 2016'!O39-'Expo 2016'!O39</f>
        <v>12.299406599999998</v>
      </c>
      <c r="P39" s="34">
        <f>+SUM(D39:O39)</f>
        <v>138.61251848000003</v>
      </c>
      <c r="R39" s="14"/>
      <c r="S39" s="2"/>
      <c r="T39" s="2"/>
      <c r="U39" s="2"/>
      <c r="Y39" s="79"/>
      <c r="Z39" s="83"/>
    </row>
    <row r="40" spans="2:26" s="3" customFormat="1" ht="18" customHeight="1" thickTop="1" thickBot="1">
      <c r="B40" s="260"/>
      <c r="C40" s="29" t="s">
        <v>60</v>
      </c>
      <c r="D40" s="34">
        <f>+'Producción Laminados 2016'!D40+'Impo 2016'!D40-'Expo 2016'!D40</f>
        <v>0.15132205000000001</v>
      </c>
      <c r="E40" s="34">
        <f>+'Producción Laminados 2016'!E40+'Impo 2016'!E40-'Expo 2016'!E40</f>
        <v>0.15390727000000001</v>
      </c>
      <c r="F40" s="34">
        <f>+'Producción Laminados 2016'!F40+'Impo 2016'!F40-'Expo 2016'!F40</f>
        <v>0.21076977999999996</v>
      </c>
      <c r="G40" s="34">
        <f>+'Producción Laminados 2016'!G40+'Impo 2016'!G40-'Expo 2016'!G40</f>
        <v>0.20123972999999998</v>
      </c>
      <c r="H40" s="34">
        <f>+'Producción Laminados 2016'!H40+'Impo 2016'!H40-'Expo 2016'!H40</f>
        <v>0.16136257000000001</v>
      </c>
      <c r="I40" s="34">
        <f>+'Producción Laminados 2016'!I40+'Impo 2016'!I40-'Expo 2016'!I40</f>
        <v>0.28444701999999999</v>
      </c>
      <c r="J40" s="34">
        <f>+'Producción Laminados 2016'!J40+'Impo 2016'!J40-'Expo 2016'!J40</f>
        <v>0.21588431000000002</v>
      </c>
      <c r="K40" s="34">
        <f>+'Producción Laminados 2016'!K40+'Impo 2016'!K40-'Expo 2016'!K40</f>
        <v>0.40776576000000009</v>
      </c>
      <c r="L40" s="34">
        <f>+'Producción Laminados 2016'!L40+'Impo 2016'!L40-'Expo 2016'!L40</f>
        <v>0.10467745999999999</v>
      </c>
      <c r="M40" s="34">
        <f>+'Producción Laminados 2016'!M40+'Impo 2016'!M40-'Expo 2016'!M40</f>
        <v>0.32267362000000005</v>
      </c>
      <c r="N40" s="34">
        <f>+'Producción Laminados 2016'!N40+'Impo 2016'!N40-'Expo 2016'!N40</f>
        <v>0.20857506000000003</v>
      </c>
      <c r="O40" s="34">
        <f>+'Producción Laminados 2016'!O40+'Impo 2016'!O40-'Expo 2016'!O40</f>
        <v>0.15509711000000001</v>
      </c>
      <c r="P40" s="34">
        <f>+SUM(D40:O40)</f>
        <v>2.5777217400000003</v>
      </c>
      <c r="R40" s="14"/>
      <c r="S40" s="2"/>
      <c r="T40" s="2"/>
      <c r="U40" s="2"/>
      <c r="Y40" s="79"/>
      <c r="Z40" s="83"/>
    </row>
    <row r="41" spans="2:26" s="3" customFormat="1" ht="18" customHeight="1" thickTop="1" thickBot="1">
      <c r="B41" s="260"/>
      <c r="C41" s="29" t="s">
        <v>139</v>
      </c>
      <c r="D41" s="52">
        <f t="shared" ref="D41:I41" si="19">+D38+D39+D40</f>
        <v>28.717960356000013</v>
      </c>
      <c r="E41" s="52">
        <f t="shared" si="19"/>
        <v>30.294805520000008</v>
      </c>
      <c r="F41" s="52">
        <f t="shared" si="19"/>
        <v>21.683470990999997</v>
      </c>
      <c r="G41" s="52">
        <f t="shared" si="19"/>
        <v>23.061721942333346</v>
      </c>
      <c r="H41" s="52">
        <f t="shared" si="19"/>
        <v>19.108117570000005</v>
      </c>
      <c r="I41" s="52">
        <f t="shared" si="19"/>
        <v>35.553180707777777</v>
      </c>
      <c r="J41" s="52">
        <f t="shared" ref="J41:O41" si="20">+J38+J39+J40</f>
        <v>25.510336830000004</v>
      </c>
      <c r="K41" s="52">
        <f t="shared" si="20"/>
        <v>36.732547188158726</v>
      </c>
      <c r="L41" s="52">
        <f t="shared" si="20"/>
        <v>14.212395350000003</v>
      </c>
      <c r="M41" s="52">
        <f t="shared" si="20"/>
        <v>34.907918507038545</v>
      </c>
      <c r="N41" s="52">
        <f t="shared" si="20"/>
        <v>30.789752519999997</v>
      </c>
      <c r="O41" s="52">
        <f t="shared" si="20"/>
        <v>21.45765321</v>
      </c>
      <c r="P41" s="34">
        <f>+P38+P39+P40</f>
        <v>322.02986069230849</v>
      </c>
      <c r="R41" s="46">
        <f t="shared" ref="R41" si="21">+D41+E41+F41+G41+H41+I41+J41+K41+L41+M41+N41+O41</f>
        <v>322.02986069230838</v>
      </c>
      <c r="S41" s="12">
        <f>+P41-'Consumo Aparente 2015'!R41</f>
        <v>94.234629212308477</v>
      </c>
      <c r="T41" s="2"/>
      <c r="U41" s="12"/>
      <c r="Y41" s="79"/>
      <c r="Z41" s="83"/>
    </row>
    <row r="42" spans="2:26" s="3" customFormat="1" ht="18" customHeight="1" thickTop="1" thickBot="1">
      <c r="B42" s="260"/>
      <c r="C42" s="32" t="s">
        <v>81</v>
      </c>
      <c r="D42" s="35">
        <f>+(D41-'Consumo Aparente 2015'!D41)/'Consumo Aparente 2015'!D41</f>
        <v>0.12523017414692458</v>
      </c>
      <c r="E42" s="35">
        <f>+(E41-'Consumo Aparente 2015'!E41)/'Consumo Aparente 2015'!E41</f>
        <v>-0.24227923410335855</v>
      </c>
      <c r="F42" s="35">
        <f>+(F41-'Consumo Aparente 2015'!F41)/'Consumo Aparente 2015'!F41</f>
        <v>-0.22907687198179519</v>
      </c>
      <c r="G42" s="35">
        <f>+(G41-'Consumo Aparente 2015'!G41)/'Consumo Aparente 2015'!G41</f>
        <v>-0.17486569919229669</v>
      </c>
      <c r="H42" s="35">
        <f>+(H41-'Consumo Aparente 2015'!H41)/'Consumo Aparente 2015'!H41</f>
        <v>-0.25494361579535574</v>
      </c>
      <c r="I42" s="35">
        <f>+(I41-'Consumo Aparente 2015'!I41)/'Consumo Aparente 2015'!I41</f>
        <v>5.2086396738861458E-2</v>
      </c>
      <c r="J42" s="35">
        <f>+(J41-'Consumo Aparente 2015'!J41)/'Consumo Aparente 2015'!J41</f>
        <v>0.18791310777243725</v>
      </c>
      <c r="K42" s="35">
        <f>+(K41-'Consumo Aparente 2015'!K41)/'Consumo Aparente 2015'!K41</f>
        <v>0.45178054728545092</v>
      </c>
      <c r="L42" s="35">
        <f>+(L41-'Consumo Aparente 2015'!L41)/'Consumo Aparente 2015'!L41</f>
        <v>-0.60587418934126214</v>
      </c>
      <c r="M42" s="35">
        <f>+(M41-'Consumo Aparente 2015'!M41)/'Consumo Aparente 2015'!M41</f>
        <v>0.30156776194118717</v>
      </c>
      <c r="N42" s="35">
        <f>+(N41-'Consumo Aparente 2015'!N41)/'Consumo Aparente 2015'!N41</f>
        <v>1.162078153981347</v>
      </c>
      <c r="O42" s="35">
        <f>+(O41-'Consumo Aparente 2015'!O41)/'Consumo Aparente 2015'!O41</f>
        <v>0.11141229390848115</v>
      </c>
      <c r="P42" s="35">
        <f>+(P41-'Consumo Aparente 2015'!P41)/'Consumo Aparente 2015'!P41</f>
        <v>-6.764769326764738E-3</v>
      </c>
      <c r="R42" s="14"/>
      <c r="S42" s="2"/>
      <c r="T42" s="2"/>
      <c r="U42" s="2"/>
      <c r="Y42" s="79"/>
      <c r="Z42" s="83"/>
    </row>
    <row r="43" spans="2:26" s="3" customFormat="1" ht="18" customHeight="1" thickTop="1" thickBot="1">
      <c r="B43" s="260" t="s">
        <v>11</v>
      </c>
      <c r="C43" s="31" t="s">
        <v>65</v>
      </c>
      <c r="D43" s="73">
        <f>+'Producción Laminados 2016'!D43+'Impo 2016'!D43-'Expo 2016'!D43</f>
        <v>68.224733000000015</v>
      </c>
      <c r="E43" s="73">
        <f>+'Producción Laminados 2016'!E43+'Impo 2016'!E43-'Expo 2016'!E43</f>
        <v>55.466406250000006</v>
      </c>
      <c r="F43" s="73">
        <f>+'Producción Laminados 2016'!F43+'Impo 2016'!F43-'Expo 2016'!F43</f>
        <v>41.639544476000005</v>
      </c>
      <c r="G43" s="73">
        <f>+'Producción Laminados 2016'!G43+'Impo 2016'!G43-'Expo 2016'!G43</f>
        <v>50.028172575333329</v>
      </c>
      <c r="H43" s="73">
        <f>+'Producción Laminados 2016'!H43+'Impo 2016'!H43-'Expo 2016'!H43</f>
        <v>40.901207100444452</v>
      </c>
      <c r="I43" s="73">
        <f>+'Producción Laminados 2016'!I43+'Impo 2016'!I43-'Expo 2016'!I43</f>
        <v>39.494288999999995</v>
      </c>
      <c r="J43" s="73">
        <f>+'Producción Laminados 2016'!J43+'Impo 2016'!J43-'Expo 2016'!J43</f>
        <v>57.439764558592586</v>
      </c>
      <c r="K43" s="73">
        <f>+'Producción Laminados 2016'!K43+'Impo 2016'!K43-'Expo 2016'!K43</f>
        <v>76.886048280052918</v>
      </c>
      <c r="L43" s="73">
        <f>+'Producción Laminados 2016'!L43+'Impo 2016'!L43-'Expo 2016'!L43</f>
        <v>35.808805</v>
      </c>
      <c r="M43" s="73">
        <f>+'Producción Laminados 2016'!M43+'Impo 2016'!M43-'Expo 2016'!M43</f>
        <v>44.779179998631889</v>
      </c>
      <c r="N43" s="73">
        <f>+'Producción Laminados 2016'!N43+'Impo 2016'!N43-'Expo 2016'!N43</f>
        <v>56.067927000000005</v>
      </c>
      <c r="O43" s="73">
        <f>+'Producción Laminados 2016'!O43+'Impo 2016'!O43-'Expo 2016'!O43</f>
        <v>40.605970666210624</v>
      </c>
      <c r="P43" s="34">
        <f>+SUM(D43:O43)</f>
        <v>607.34204790526576</v>
      </c>
      <c r="R43" s="14"/>
      <c r="S43" s="2"/>
      <c r="T43" s="2"/>
      <c r="U43" s="2"/>
      <c r="Y43" s="79"/>
      <c r="Z43" s="83"/>
    </row>
    <row r="44" spans="2:26" s="3" customFormat="1" ht="18" customHeight="1" thickTop="1" thickBot="1">
      <c r="B44" s="260"/>
      <c r="C44" s="29" t="s">
        <v>59</v>
      </c>
      <c r="D44" s="73">
        <f>+'Producción Laminados 2016'!D44+'Impo 2016'!D44-'Expo 2016'!D44</f>
        <v>39.761914000000004</v>
      </c>
      <c r="E44" s="73">
        <f>+'Producción Laminados 2016'!E44+'Impo 2016'!E44-'Expo 2016'!E44</f>
        <v>10.473002999999999</v>
      </c>
      <c r="F44" s="73">
        <f>+'Producción Laminados 2016'!F44+'Impo 2016'!F44-'Expo 2016'!F44</f>
        <v>21.974985999999998</v>
      </c>
      <c r="G44" s="73">
        <f>+'Producción Laminados 2016'!G44+'Impo 2016'!G44-'Expo 2016'!G44</f>
        <v>16.918493000000002</v>
      </c>
      <c r="H44" s="73">
        <f>+'Producción Laminados 2016'!H44+'Impo 2016'!H44-'Expo 2016'!H44</f>
        <v>35.079275000000003</v>
      </c>
      <c r="I44" s="73">
        <f>+'Producción Laminados 2016'!I44+'Impo 2016'!I44-'Expo 2016'!I44</f>
        <v>22.593527999999999</v>
      </c>
      <c r="J44" s="73">
        <f>+'Producción Laminados 2016'!J44+'Impo 2016'!J44-'Expo 2016'!J44</f>
        <v>30.036074000000003</v>
      </c>
      <c r="K44" s="73">
        <f>+'Producción Laminados 2016'!K44+'Impo 2016'!K44-'Expo 2016'!K44</f>
        <v>29.986245999999998</v>
      </c>
      <c r="L44" s="73">
        <f>+'Producción Laminados 2016'!L44+'Impo 2016'!L44-'Expo 2016'!L44</f>
        <v>38.671318999999997</v>
      </c>
      <c r="M44" s="73">
        <f>+'Producción Laminados 2016'!M44+'Impo 2016'!M44-'Expo 2016'!M44</f>
        <v>42.433590000000002</v>
      </c>
      <c r="N44" s="73">
        <f>+'Producción Laminados 2016'!N44+'Impo 2016'!N44-'Expo 2016'!N44</f>
        <v>30.160948000000001</v>
      </c>
      <c r="O44" s="73">
        <f>+'Producción Laminados 2016'!O44+'Impo 2016'!O44-'Expo 2016'!O44</f>
        <v>18.381360999999998</v>
      </c>
      <c r="P44" s="34">
        <f>+SUM(D44:O44)</f>
        <v>336.47073699999999</v>
      </c>
      <c r="R44" s="14"/>
      <c r="S44" s="2"/>
      <c r="T44" s="2"/>
      <c r="U44" s="2"/>
      <c r="Y44" s="79"/>
      <c r="Z44" s="83"/>
    </row>
    <row r="45" spans="2:26" s="3" customFormat="1" ht="18" customHeight="1" thickTop="1" thickBot="1">
      <c r="B45" s="260"/>
      <c r="C45" s="29" t="s">
        <v>60</v>
      </c>
      <c r="D45" s="73">
        <f>+'Producción Laminados 2016'!D45+'Impo 2016'!D45-'Expo 2016'!D45</f>
        <v>0.73936200000000007</v>
      </c>
      <c r="E45" s="73">
        <f>+'Producción Laminados 2016'!E45+'Impo 2016'!E45-'Expo 2016'!E45</f>
        <v>0.74638700000000002</v>
      </c>
      <c r="F45" s="73">
        <f>+'Producción Laminados 2016'!F45+'Impo 2016'!F45-'Expo 2016'!F45</f>
        <v>7.3295000000000013E-2</v>
      </c>
      <c r="G45" s="73">
        <f>+'Producción Laminados 2016'!G45+'Impo 2016'!G45-'Expo 2016'!G45</f>
        <v>0.13464899999999999</v>
      </c>
      <c r="H45" s="73">
        <f>+'Producción Laminados 2016'!H45+'Impo 2016'!H45-'Expo 2016'!H45</f>
        <v>-7.7415000000000012E-2</v>
      </c>
      <c r="I45" s="73">
        <f>+'Producción Laminados 2016'!I45+'Impo 2016'!I45-'Expo 2016'!I45</f>
        <v>0.803207</v>
      </c>
      <c r="J45" s="73">
        <f>+'Producción Laminados 2016'!J45+'Impo 2016'!J45-'Expo 2016'!J45</f>
        <v>0.29017900000000008</v>
      </c>
      <c r="K45" s="73">
        <f>+'Producción Laminados 2016'!K45+'Impo 2016'!K45-'Expo 2016'!K45</f>
        <v>0.13516</v>
      </c>
      <c r="L45" s="73">
        <f>+'Producción Laminados 2016'!L45+'Impo 2016'!L45-'Expo 2016'!L45</f>
        <v>0.75598999999999994</v>
      </c>
      <c r="M45" s="73">
        <f>+'Producción Laminados 2016'!M45+'Impo 2016'!M45-'Expo 2016'!M45</f>
        <v>0.26650000000000001</v>
      </c>
      <c r="N45" s="73">
        <f>+'Producción Laminados 2016'!N45+'Impo 2016'!N45-'Expo 2016'!N45</f>
        <v>0.30124700000000004</v>
      </c>
      <c r="O45" s="73">
        <f>+'Producción Laminados 2016'!O45+'Impo 2016'!O45-'Expo 2016'!O45</f>
        <v>0.14183399999999999</v>
      </c>
      <c r="P45" s="34">
        <f>+SUM(D45:O45)</f>
        <v>4.3103950000000006</v>
      </c>
      <c r="R45" s="14"/>
      <c r="S45" s="2"/>
      <c r="T45" s="2"/>
      <c r="U45" s="2"/>
      <c r="Y45" s="79"/>
      <c r="Z45" s="83"/>
    </row>
    <row r="46" spans="2:26" s="3" customFormat="1" ht="18" customHeight="1" thickTop="1" thickBot="1">
      <c r="B46" s="260"/>
      <c r="C46" s="29" t="s">
        <v>139</v>
      </c>
      <c r="D46" s="138">
        <f t="shared" ref="D46:I46" si="22">+D43+D44+D45</f>
        <v>108.72600900000002</v>
      </c>
      <c r="E46" s="138">
        <f t="shared" si="22"/>
        <v>66.68579625000001</v>
      </c>
      <c r="F46" s="138">
        <f t="shared" si="22"/>
        <v>63.687825476</v>
      </c>
      <c r="G46" s="138">
        <f t="shared" si="22"/>
        <v>67.081314575333323</v>
      </c>
      <c r="H46" s="138">
        <f t="shared" si="22"/>
        <v>75.903067100444446</v>
      </c>
      <c r="I46" s="138">
        <f t="shared" si="22"/>
        <v>62.891023999999994</v>
      </c>
      <c r="J46" s="138">
        <f t="shared" ref="J46:O46" si="23">+J43+J44+J45</f>
        <v>87.76601755859258</v>
      </c>
      <c r="K46" s="138">
        <f t="shared" si="23"/>
        <v>107.00745428005291</v>
      </c>
      <c r="L46" s="138">
        <f t="shared" si="23"/>
        <v>75.236113999999986</v>
      </c>
      <c r="M46" s="138">
        <f t="shared" si="23"/>
        <v>87.479269998631892</v>
      </c>
      <c r="N46" s="138">
        <f t="shared" si="23"/>
        <v>86.530122000000006</v>
      </c>
      <c r="O46" s="138">
        <f t="shared" si="23"/>
        <v>59.129165666210625</v>
      </c>
      <c r="P46" s="34">
        <f>+P43+P44+P45</f>
        <v>948.12317990526572</v>
      </c>
      <c r="R46" s="46">
        <f t="shared" ref="R46" si="24">+D46+E46+F46+G46+H46+I46+J46+K46+L46+M46+N46+O46</f>
        <v>948.12317990526583</v>
      </c>
      <c r="S46" s="12">
        <f>+P46-'Consumo Aparente 2015'!R46</f>
        <v>309.15183500526564</v>
      </c>
      <c r="T46" s="2"/>
      <c r="U46" s="12"/>
      <c r="Y46" s="79"/>
      <c r="Z46" s="83"/>
    </row>
    <row r="47" spans="2:26" s="3" customFormat="1" ht="18" customHeight="1" thickTop="1" thickBot="1">
      <c r="B47" s="260"/>
      <c r="C47" s="32" t="s">
        <v>81</v>
      </c>
      <c r="D47" s="35">
        <f>+(D46-'Consumo Aparente 2015'!D46)/'Consumo Aparente 2015'!D46</f>
        <v>0.88927446122032783</v>
      </c>
      <c r="E47" s="35">
        <f>+(E46-'Consumo Aparente 2015'!E46)/'Consumo Aparente 2015'!E46</f>
        <v>-0.28645172693579979</v>
      </c>
      <c r="F47" s="35">
        <f>+(F46-'Consumo Aparente 2015'!F46)/'Consumo Aparente 2015'!F46</f>
        <v>-0.20542729631604173</v>
      </c>
      <c r="G47" s="35">
        <f>+(G46-'Consumo Aparente 2015'!G46)/'Consumo Aparente 2015'!G46</f>
        <v>-4.5431147179699032E-2</v>
      </c>
      <c r="H47" s="35">
        <f>+(H46-'Consumo Aparente 2015'!H46)/'Consumo Aparente 2015'!H46</f>
        <v>4.5913315798011113E-3</v>
      </c>
      <c r="I47" s="35">
        <f>+(I46-'Consumo Aparente 2015'!I46)/'Consumo Aparente 2015'!I46</f>
        <v>-0.18381276728350227</v>
      </c>
      <c r="J47" s="35">
        <f>+(J46-'Consumo Aparente 2015'!J46)/'Consumo Aparente 2015'!J46</f>
        <v>-2.7517549660456074E-2</v>
      </c>
      <c r="K47" s="35">
        <f>+(K46-'Consumo Aparente 2015'!K46)/'Consumo Aparente 2015'!K46</f>
        <v>0.13022642389689751</v>
      </c>
      <c r="L47" s="35">
        <f>+(L46-'Consumo Aparente 2015'!L46)/'Consumo Aparente 2015'!L46</f>
        <v>-0.47734923367433968</v>
      </c>
      <c r="M47" s="35">
        <f>+(M46-'Consumo Aparente 2015'!M46)/'Consumo Aparente 2015'!M46</f>
        <v>-9.3254075048900958E-2</v>
      </c>
      <c r="N47" s="35">
        <f>+(N46-'Consumo Aparente 2015'!N46)/'Consumo Aparente 2015'!N46</f>
        <v>9.1525628227490607E-2</v>
      </c>
      <c r="O47" s="35">
        <f>+(O46-'Consumo Aparente 2015'!O46)/'Consumo Aparente 2015'!O46</f>
        <v>-0.4045888645748833</v>
      </c>
      <c r="P47" s="35">
        <f>+(P46-'Consumo Aparente 2015'!P46)/'Consumo Aparente 2015'!P46</f>
        <v>-0.10383725938113661</v>
      </c>
      <c r="R47" s="14"/>
      <c r="S47" s="2"/>
      <c r="T47" s="2"/>
      <c r="U47" s="2"/>
      <c r="Y47" s="79"/>
      <c r="Z47" s="83"/>
    </row>
    <row r="48" spans="2:26" ht="18" customHeight="1" thickTop="1" thickBot="1">
      <c r="B48" s="260" t="s">
        <v>86</v>
      </c>
      <c r="C48" s="31" t="s">
        <v>65</v>
      </c>
      <c r="D48" s="34">
        <f>'Impo 2016'!D48-'Expo 2016'!D48</f>
        <v>9.4584311599999964</v>
      </c>
      <c r="E48" s="34">
        <f>'Impo 2016'!E48-'Expo 2016'!E48</f>
        <v>10.174304259999996</v>
      </c>
      <c r="F48" s="34">
        <f>'Impo 2016'!F48-'Expo 2016'!F48</f>
        <v>13.579797170000004</v>
      </c>
      <c r="G48" s="34">
        <f>'Impo 2016'!G48-'Expo 2016'!G48</f>
        <v>16.955539119999997</v>
      </c>
      <c r="H48" s="34">
        <f>'Impo 2016'!H48-'Expo 2016'!H48</f>
        <v>13.51366924</v>
      </c>
      <c r="I48" s="34">
        <f>'Impo 2016'!I48-'Expo 2016'!I48</f>
        <v>14.041946370000005</v>
      </c>
      <c r="J48" s="34">
        <f>'Impo 2016'!J48-'Expo 2016'!J48</f>
        <v>12.704792960000004</v>
      </c>
      <c r="K48" s="34">
        <f>'Impo 2016'!K48-'Expo 2016'!K48</f>
        <v>12.12005463</v>
      </c>
      <c r="L48" s="34">
        <f>'Impo 2016'!L48-'Expo 2016'!L48</f>
        <v>12.873819150000001</v>
      </c>
      <c r="M48" s="34">
        <f>'Impo 2016'!M48-'Expo 2016'!M48</f>
        <v>10.3546932</v>
      </c>
      <c r="N48" s="34">
        <f>'Impo 2016'!N48-'Expo 2016'!N48</f>
        <v>6.1546836899999979</v>
      </c>
      <c r="O48" s="34">
        <f>'Impo 2016'!O48-'Expo 2016'!O48</f>
        <v>9.1737961400000039</v>
      </c>
      <c r="P48" s="34">
        <f>+SUM(D48:O48)</f>
        <v>141.10552709000001</v>
      </c>
      <c r="R48" s="14"/>
      <c r="Y48" s="78"/>
    </row>
    <row r="49" spans="2:26" ht="18" customHeight="1" thickTop="1" thickBot="1">
      <c r="B49" s="260"/>
      <c r="C49" s="29" t="s">
        <v>59</v>
      </c>
      <c r="D49" s="34">
        <f>'Impo 2016'!D49-'Expo 2016'!D49</f>
        <v>8.7803823500000036</v>
      </c>
      <c r="E49" s="34">
        <f>'Impo 2016'!E49-'Expo 2016'!E49</f>
        <v>10.53306169</v>
      </c>
      <c r="F49" s="34">
        <f>'Impo 2016'!F49-'Expo 2016'!F49</f>
        <v>21.690735910000008</v>
      </c>
      <c r="G49" s="34">
        <f>'Impo 2016'!G49-'Expo 2016'!G49</f>
        <v>25.598836529999996</v>
      </c>
      <c r="H49" s="34">
        <f>'Impo 2016'!H49-'Expo 2016'!H49</f>
        <v>2.4299532199999971</v>
      </c>
      <c r="I49" s="34">
        <f>'Impo 2016'!I49-'Expo 2016'!I49</f>
        <v>28.102729650000001</v>
      </c>
      <c r="J49" s="34">
        <f>'Impo 2016'!J49-'Expo 2016'!J49</f>
        <v>2.3583888600000007</v>
      </c>
      <c r="K49" s="34">
        <f>'Impo 2016'!K49-'Expo 2016'!K49</f>
        <v>10.986601309999998</v>
      </c>
      <c r="L49" s="34">
        <f>'Impo 2016'!L49-'Expo 2016'!L49</f>
        <v>33.174123420000001</v>
      </c>
      <c r="M49" s="34">
        <f>'Impo 2016'!M49-'Expo 2016'!M49</f>
        <v>6.2157493100000005</v>
      </c>
      <c r="N49" s="34">
        <f>'Impo 2016'!N49-'Expo 2016'!N49</f>
        <v>19.366297140000007</v>
      </c>
      <c r="O49" s="34">
        <f>'Impo 2016'!O49-'Expo 2016'!O49</f>
        <v>10.87789147</v>
      </c>
      <c r="P49" s="34">
        <f>+SUM(D49:O49)</f>
        <v>180.11475086000002</v>
      </c>
      <c r="R49" s="14"/>
      <c r="Y49" s="78"/>
    </row>
    <row r="50" spans="2:26" ht="18" customHeight="1" thickTop="1" thickBot="1">
      <c r="B50" s="260"/>
      <c r="C50" s="29" t="s">
        <v>60</v>
      </c>
      <c r="D50" s="34">
        <f>'Impo 2016'!D50-'Expo 2016'!D50</f>
        <v>4.1703130000000005E-2</v>
      </c>
      <c r="E50" s="34">
        <f>'Impo 2016'!E50-'Expo 2016'!E50</f>
        <v>-2.4719300000000666E-3</v>
      </c>
      <c r="F50" s="34">
        <f>'Impo 2016'!F50-'Expo 2016'!F50</f>
        <v>-4.1792809999999986E-2</v>
      </c>
      <c r="G50" s="34">
        <f>'Impo 2016'!G50-'Expo 2016'!G50</f>
        <v>-2.4572229999999973E-2</v>
      </c>
      <c r="H50" s="34">
        <f>'Impo 2016'!H50-'Expo 2016'!H50</f>
        <v>-0.18004773999999998</v>
      </c>
      <c r="I50" s="34">
        <f>'Impo 2016'!I50-'Expo 2016'!I50</f>
        <v>2.7331270000000074E-2</v>
      </c>
      <c r="J50" s="34">
        <f>'Impo 2016'!J50-'Expo 2016'!J50</f>
        <v>6.3639509999999941E-2</v>
      </c>
      <c r="K50" s="34">
        <f>'Impo 2016'!K50-'Expo 2016'!K50</f>
        <v>-1.2246699999999999E-2</v>
      </c>
      <c r="L50" s="34">
        <f>'Impo 2016'!L50-'Expo 2016'!L50</f>
        <v>0.35265589000000003</v>
      </c>
      <c r="M50" s="34">
        <f>'Impo 2016'!M50-'Expo 2016'!M50</f>
        <v>-0.17259310999999999</v>
      </c>
      <c r="N50" s="34">
        <f>'Impo 2016'!N50-'Expo 2016'!N50</f>
        <v>-7.3696640000000022E-2</v>
      </c>
      <c r="O50" s="34">
        <f>'Impo 2016'!O50-'Expo 2016'!O50</f>
        <v>-0.13949379000000001</v>
      </c>
      <c r="P50" s="34">
        <f>+SUM(D50:O50)</f>
        <v>-0.16158515000000001</v>
      </c>
      <c r="R50" s="14"/>
      <c r="Y50" s="78"/>
    </row>
    <row r="51" spans="2:26" ht="18" customHeight="1" thickTop="1" thickBot="1">
      <c r="B51" s="260"/>
      <c r="C51" s="29" t="s">
        <v>139</v>
      </c>
      <c r="D51" s="52">
        <f t="shared" ref="D51:I51" si="25">+D48+D49+D50</f>
        <v>18.280516639999998</v>
      </c>
      <c r="E51" s="52">
        <f t="shared" si="25"/>
        <v>20.704894019999998</v>
      </c>
      <c r="F51" s="52">
        <f t="shared" si="25"/>
        <v>35.228740270000017</v>
      </c>
      <c r="G51" s="52">
        <f t="shared" si="25"/>
        <v>42.52980342</v>
      </c>
      <c r="H51" s="52">
        <f t="shared" si="25"/>
        <v>15.763574719999998</v>
      </c>
      <c r="I51" s="52">
        <f t="shared" si="25"/>
        <v>42.172007290000003</v>
      </c>
      <c r="J51" s="52">
        <f t="shared" ref="J51:O51" si="26">+J48+J49+J50</f>
        <v>15.126821330000004</v>
      </c>
      <c r="K51" s="52">
        <f t="shared" si="26"/>
        <v>23.094409239999997</v>
      </c>
      <c r="L51" s="52">
        <f t="shared" si="26"/>
        <v>46.400598460000005</v>
      </c>
      <c r="M51" s="52">
        <f t="shared" si="26"/>
        <v>16.397849399999998</v>
      </c>
      <c r="N51" s="52">
        <f t="shared" si="26"/>
        <v>25.447284190000005</v>
      </c>
      <c r="O51" s="52">
        <f t="shared" si="26"/>
        <v>19.912193820000002</v>
      </c>
      <c r="P51" s="34">
        <f>+P48+P49+P50</f>
        <v>321.05869280000002</v>
      </c>
      <c r="Q51" s="4" t="s">
        <v>17</v>
      </c>
      <c r="R51" s="46">
        <f t="shared" ref="R51" si="27">+D51+E51+F51+G51+H51+I51+J51+K51+L51+M51+N51+O51</f>
        <v>321.05869280000007</v>
      </c>
      <c r="S51" s="12">
        <f>+P51-'Consumo Aparente 2015'!R51</f>
        <v>123.26217768000001</v>
      </c>
      <c r="U51" s="12"/>
      <c r="Y51" s="78"/>
    </row>
    <row r="52" spans="2:26" ht="18" customHeight="1" thickTop="1" thickBot="1">
      <c r="B52" s="260"/>
      <c r="C52" s="32" t="s">
        <v>81</v>
      </c>
      <c r="D52" s="35">
        <f>+(D51-'Consumo Aparente 2015'!D51)/'Consumo Aparente 2015'!D51</f>
        <v>-7.8658375990979773E-2</v>
      </c>
      <c r="E52" s="35">
        <f>+(E51-'Consumo Aparente 2015'!E51)/'Consumo Aparente 2015'!E51</f>
        <v>0.39474309884857428</v>
      </c>
      <c r="F52" s="35">
        <f>+(F51-'Consumo Aparente 2015'!F51)/'Consumo Aparente 2015'!F51</f>
        <v>0.20119281620775678</v>
      </c>
      <c r="G52" s="35">
        <f>+(G51-'Consumo Aparente 2015'!G51)/'Consumo Aparente 2015'!G51</f>
        <v>2.8504421372780651</v>
      </c>
      <c r="H52" s="35">
        <f>+(H51-'Consumo Aparente 2015'!H51)/'Consumo Aparente 2015'!H51</f>
        <v>-0.52041060978754561</v>
      </c>
      <c r="I52" s="35">
        <f>+(I51-'Consumo Aparente 2015'!I51)/'Consumo Aparente 2015'!I51</f>
        <v>1.0544269711728069</v>
      </c>
      <c r="J52" s="35">
        <f>+(J51-'Consumo Aparente 2015'!J51)/'Consumo Aparente 2015'!J51</f>
        <v>-0.3364754820939132</v>
      </c>
      <c r="K52" s="35">
        <f>+(K51-'Consumo Aparente 2015'!K51)/'Consumo Aparente 2015'!K51</f>
        <v>-0.50380321627912739</v>
      </c>
      <c r="L52" s="35">
        <f>+(L51-'Consumo Aparente 2015'!L51)/'Consumo Aparente 2015'!L51</f>
        <v>1.5415828072010731</v>
      </c>
      <c r="M52" s="35">
        <f>+(M51-'Consumo Aparente 2015'!M51)/'Consumo Aparente 2015'!M51</f>
        <v>-0.68137340090223675</v>
      </c>
      <c r="N52" s="35">
        <f>+(N51-'Consumo Aparente 2015'!N51)/'Consumo Aparente 2015'!N51</f>
        <v>-0.13332922232111483</v>
      </c>
      <c r="O52" s="35">
        <f>+(O51-'Consumo Aparente 2015'!O51)/'Consumo Aparente 2015'!O51</f>
        <v>-0.65305175814079353</v>
      </c>
      <c r="P52" s="35">
        <f>+(P51-'Consumo Aparente 2015'!P51)/'Consumo Aparente 2015'!P51</f>
        <v>-9.375026355561468E-2</v>
      </c>
      <c r="R52" s="14"/>
      <c r="Y52" s="78"/>
    </row>
    <row r="53" spans="2:26" ht="18" customHeight="1" thickTop="1" thickBot="1">
      <c r="B53" s="260" t="s">
        <v>43</v>
      </c>
      <c r="C53" s="31" t="s">
        <v>65</v>
      </c>
      <c r="D53" s="171">
        <f>+'Producción Laminados 2016'!D48+'Impo 2016'!D53-'Expo 2016'!D53</f>
        <v>705.00743053600002</v>
      </c>
      <c r="E53" s="171">
        <f>+'Producción Laminados 2016'!E48+'Impo 2016'!E53-'Expo 2016'!E53</f>
        <v>727.22826622000002</v>
      </c>
      <c r="F53" s="171">
        <f>+'Producción Laminados 2016'!F48+'Impo 2016'!F53-'Expo 2016'!F53</f>
        <v>724.71781813300004</v>
      </c>
      <c r="G53" s="171">
        <f>+'Producción Laminados 2016'!G48+'Impo 2016'!G53-'Expo 2016'!G53</f>
        <v>749.40725554900007</v>
      </c>
      <c r="H53" s="171">
        <f>+'Producción Laminados 2016'!H48+'Impo 2016'!H53-'Expo 2016'!H53</f>
        <v>735.99597133700001</v>
      </c>
      <c r="I53" s="171">
        <f>+'Producción Laminados 2016'!I48+'Impo 2016'!I53-'Expo 2016'!I53</f>
        <v>792.58833457449998</v>
      </c>
      <c r="J53" s="171">
        <f>+'Producción Laminados 2016'!J48+'Impo 2016'!J53-'Expo 2016'!J53</f>
        <v>813.29261062099999</v>
      </c>
      <c r="K53" s="171">
        <f>+'Producción Laminados 2016'!K48+'Impo 2016'!K53-'Expo 2016'!K53</f>
        <v>764.52925178999999</v>
      </c>
      <c r="L53" s="171">
        <f>+'Producción Laminados 2016'!L48+'Impo 2016'!L53-'Expo 2016'!L53</f>
        <v>783.60734376900007</v>
      </c>
      <c r="M53" s="171">
        <f>+'Producción Laminados 2016'!M48+'Impo 2016'!M53-'Expo 2016'!M53</f>
        <v>846.63282298600006</v>
      </c>
      <c r="N53" s="171">
        <f>+'Producción Laminados 2016'!N48+'Impo 2016'!N53-'Expo 2016'!N53</f>
        <v>785.56366387399999</v>
      </c>
      <c r="O53" s="171">
        <f>+'Producción Laminados 2016'!O48+'Impo 2016'!O53-'Expo 2016'!O53</f>
        <v>688.91832509720007</v>
      </c>
      <c r="P53" s="34">
        <f>+SUM(D53:O53)</f>
        <v>9117.4890944867002</v>
      </c>
      <c r="R53" s="14"/>
      <c r="Y53" s="78"/>
    </row>
    <row r="54" spans="2:26" ht="18" customHeight="1" thickTop="1" thickBot="1">
      <c r="B54" s="260"/>
      <c r="C54" s="29" t="s">
        <v>59</v>
      </c>
      <c r="D54" s="171">
        <f>+'Producción Laminados 2016'!D49+'Impo 2016'!D54-'Expo 2016'!D54</f>
        <v>1347.5368446590001</v>
      </c>
      <c r="E54" s="171">
        <f>+'Producción Laminados 2016'!E49+'Impo 2016'!E54-'Expo 2016'!E54</f>
        <v>1196.455779891</v>
      </c>
      <c r="F54" s="171">
        <f>+'Producción Laminados 2016'!F49+'Impo 2016'!F54-'Expo 2016'!F54</f>
        <v>1336.6468935039998</v>
      </c>
      <c r="G54" s="171">
        <f>+'Producción Laminados 2016'!G49+'Impo 2016'!G54-'Expo 2016'!G54</f>
        <v>1453.080645885</v>
      </c>
      <c r="H54" s="171">
        <f>+'Producción Laminados 2016'!H49+'Impo 2016'!H54-'Expo 2016'!H54</f>
        <v>1318.721407533</v>
      </c>
      <c r="I54" s="171">
        <f>+'Producción Laminados 2016'!I49+'Impo 2016'!I54-'Expo 2016'!I54</f>
        <v>1286.2484218850002</v>
      </c>
      <c r="J54" s="171">
        <f>+'Producción Laminados 2016'!J49+'Impo 2016'!J54-'Expo 2016'!J54</f>
        <v>1326.2924335779999</v>
      </c>
      <c r="K54" s="171">
        <f>+'Producción Laminados 2016'!K49+'Impo 2016'!K54-'Expo 2016'!K54</f>
        <v>1397.9461419549998</v>
      </c>
      <c r="L54" s="171">
        <f>+'Producción Laminados 2016'!L49+'Impo 2016'!L54-'Expo 2016'!L54</f>
        <v>1345.4819807019999</v>
      </c>
      <c r="M54" s="171">
        <f>+'Producción Laminados 2016'!M49+'Impo 2016'!M54-'Expo 2016'!M54</f>
        <v>1346.5069765550002</v>
      </c>
      <c r="N54" s="171">
        <f>+'Producción Laminados 2016'!N49+'Impo 2016'!N54-'Expo 2016'!N54</f>
        <v>1519.287859523</v>
      </c>
      <c r="O54" s="171">
        <f>+'Producción Laminados 2016'!O49+'Impo 2016'!O54-'Expo 2016'!O54</f>
        <v>1287.2379542998001</v>
      </c>
      <c r="P54" s="34">
        <f>+SUM(D54:O54)</f>
        <v>16161.443339969797</v>
      </c>
      <c r="R54" s="14"/>
      <c r="Y54" s="78"/>
    </row>
    <row r="55" spans="2:26" ht="18" customHeight="1" thickTop="1" thickBot="1">
      <c r="B55" s="260"/>
      <c r="C55" s="29" t="s">
        <v>60</v>
      </c>
      <c r="D55" s="171">
        <f>+'Producción Laminados 2016'!D50+'Impo 2016'!D55-'Expo 2016'!D55</f>
        <v>12.421986391000011</v>
      </c>
      <c r="E55" s="171">
        <f>+'Producción Laminados 2016'!E50+'Impo 2016'!E55-'Expo 2016'!E55</f>
        <v>16.457872403000003</v>
      </c>
      <c r="F55" s="171">
        <f>+'Producción Laminados 2016'!F50+'Impo 2016'!F55-'Expo 2016'!F55</f>
        <v>31.232315328999995</v>
      </c>
      <c r="G55" s="171">
        <f>+'Producción Laminados 2016'!G50+'Impo 2016'!G55-'Expo 2016'!G55</f>
        <v>19.658570685999997</v>
      </c>
      <c r="H55" s="171">
        <f>+'Producción Laminados 2016'!H50+'Impo 2016'!H55-'Expo 2016'!H55</f>
        <v>17.585594297999997</v>
      </c>
      <c r="I55" s="171">
        <f>+'Producción Laminados 2016'!I50+'Impo 2016'!I55-'Expo 2016'!I55</f>
        <v>3.2178563760000074</v>
      </c>
      <c r="J55" s="171">
        <f>+'Producción Laminados 2016'!J50+'Impo 2016'!J55-'Expo 2016'!J55</f>
        <v>17.302561097999991</v>
      </c>
      <c r="K55" s="171">
        <f>+'Producción Laminados 2016'!K50+'Impo 2016'!K55-'Expo 2016'!K55</f>
        <v>13.272059962000007</v>
      </c>
      <c r="L55" s="171">
        <f>+'Producción Laminados 2016'!L50+'Impo 2016'!L55-'Expo 2016'!L55</f>
        <v>19.905352738999987</v>
      </c>
      <c r="M55" s="171">
        <f>+'Producción Laminados 2016'!M50+'Impo 2016'!M55-'Expo 2016'!M55</f>
        <v>22.443745376999999</v>
      </c>
      <c r="N55" s="171">
        <f>+'Producción Laminados 2016'!N50+'Impo 2016'!N55-'Expo 2016'!N55</f>
        <v>12.783452132999983</v>
      </c>
      <c r="O55" s="171">
        <f>+'Producción Laminados 2016'!O50+'Impo 2016'!O55-'Expo 2016'!O55</f>
        <v>21.861073484999977</v>
      </c>
      <c r="P55" s="34">
        <f>+SUM(D55:O55)</f>
        <v>208.14244027699993</v>
      </c>
      <c r="R55" s="14"/>
      <c r="Y55" s="78"/>
    </row>
    <row r="56" spans="2:26" ht="18" customHeight="1" thickTop="1" thickBot="1">
      <c r="B56" s="260"/>
      <c r="C56" s="29" t="s">
        <v>139</v>
      </c>
      <c r="D56" s="34">
        <f>+D53+D54+D55</f>
        <v>2064.9662615859997</v>
      </c>
      <c r="E56" s="171">
        <f t="shared" ref="E56:O56" si="28">+E53+E54+E55</f>
        <v>1940.1419185140001</v>
      </c>
      <c r="F56" s="171">
        <f t="shared" si="28"/>
        <v>2092.5970269659997</v>
      </c>
      <c r="G56" s="171">
        <f t="shared" si="28"/>
        <v>2222.14647212</v>
      </c>
      <c r="H56" s="171">
        <f t="shared" si="28"/>
        <v>2072.3029731680003</v>
      </c>
      <c r="I56" s="171">
        <f t="shared" si="28"/>
        <v>2082.0546128354999</v>
      </c>
      <c r="J56" s="171">
        <f t="shared" si="28"/>
        <v>2156.8876052969995</v>
      </c>
      <c r="K56" s="171">
        <f t="shared" si="28"/>
        <v>2175.7474537069997</v>
      </c>
      <c r="L56" s="171">
        <f t="shared" si="28"/>
        <v>2148.9946772100002</v>
      </c>
      <c r="M56" s="171">
        <f t="shared" si="28"/>
        <v>2215.5835449180004</v>
      </c>
      <c r="N56" s="171">
        <f t="shared" si="28"/>
        <v>2317.6349755300002</v>
      </c>
      <c r="O56" s="171">
        <f t="shared" si="28"/>
        <v>1998.0173528820001</v>
      </c>
      <c r="P56" s="34">
        <f>+SUM(D56:O56)</f>
        <v>25487.074874733502</v>
      </c>
      <c r="Q56" s="4" t="s">
        <v>17</v>
      </c>
      <c r="R56" s="46">
        <f t="shared" ref="R56" si="29">+D56+E56+F56+G56+H56+I56+J56+K56+L56+M56+N56+O56</f>
        <v>25487.074874733502</v>
      </c>
      <c r="S56" s="12">
        <f>+P56-'Consumo Aparente 2015'!R56</f>
        <v>8669.5033064814997</v>
      </c>
      <c r="U56" s="12"/>
      <c r="Y56" s="78"/>
    </row>
    <row r="57" spans="2:26" ht="18" customHeight="1" thickTop="1" thickBot="1">
      <c r="B57" s="260"/>
      <c r="C57" s="32" t="s">
        <v>81</v>
      </c>
      <c r="D57" s="35">
        <f>+(D56-'Consumo Aparente 2015'!D56)/'Consumo Aparente 2015'!D56</f>
        <v>2.4893925187067689E-2</v>
      </c>
      <c r="E57" s="35">
        <f>+(E56-'Consumo Aparente 2015'!E56)/'Consumo Aparente 2015'!E56</f>
        <v>-5.4807026496163549E-2</v>
      </c>
      <c r="F57" s="35">
        <f>+(F56-'Consumo Aparente 2015'!F56)/'Consumo Aparente 2015'!F56</f>
        <v>-3.3646378775771126E-2</v>
      </c>
      <c r="G57" s="35">
        <f>+(G56-'Consumo Aparente 2015'!G56)/'Consumo Aparente 2015'!G56</f>
        <v>4.0633520216975277E-2</v>
      </c>
      <c r="H57" s="35">
        <f>+(H56-'Consumo Aparente 2015'!H56)/'Consumo Aparente 2015'!H56</f>
        <v>-4.0920917846288735E-2</v>
      </c>
      <c r="I57" s="35">
        <f>+(I56-'Consumo Aparente 2015'!I56)/'Consumo Aparente 2015'!I56</f>
        <v>-1.3559009850967967E-2</v>
      </c>
      <c r="J57" s="35">
        <f>+(J56-'Consumo Aparente 2015'!J56)/'Consumo Aparente 2015'!J56</f>
        <v>5.831346643815772E-2</v>
      </c>
      <c r="K57" s="35">
        <f>+(K56-'Consumo Aparente 2015'!K56)/'Consumo Aparente 2015'!K56</f>
        <v>1.677654678951189E-2</v>
      </c>
      <c r="L57" s="35">
        <f>+(L56-'Consumo Aparente 2015'!L56)/'Consumo Aparente 2015'!L56</f>
        <v>-2.2629634678240081E-2</v>
      </c>
      <c r="M57" s="35">
        <f>+(M56-'Consumo Aparente 2015'!M56)/'Consumo Aparente 2015'!M56</f>
        <v>9.4577961187542192E-2</v>
      </c>
      <c r="N57" s="35">
        <f>+(N56-'Consumo Aparente 2015'!N56)/'Consumo Aparente 2015'!N56</f>
        <v>0.21056594979633542</v>
      </c>
      <c r="O57" s="35">
        <f>+(O56-'Consumo Aparente 2015'!O56)/'Consumo Aparente 2015'!O56</f>
        <v>3.7690841176003381E-2</v>
      </c>
      <c r="P57" s="35">
        <f>+(P56-'Consumo Aparente 2015'!P56)/'Consumo Aparente 2015'!P56</f>
        <v>2.4382891343976264E-2</v>
      </c>
      <c r="R57" s="14"/>
      <c r="Y57" s="78"/>
    </row>
    <row r="58" spans="2:26" s="3" customFormat="1" ht="18" customHeight="1" thickTop="1" thickBot="1">
      <c r="B58" s="260" t="s">
        <v>71</v>
      </c>
      <c r="C58" s="31" t="s">
        <v>65</v>
      </c>
      <c r="D58" s="34">
        <f>+'Impo 2016'!D58-'Expo 2016'!D58</f>
        <v>27.15540446</v>
      </c>
      <c r="E58" s="34">
        <f>+'Impo 2016'!E58-'Expo 2016'!E58</f>
        <v>12.51426565</v>
      </c>
      <c r="F58" s="34">
        <f>+'Impo 2016'!F58-'Expo 2016'!F58</f>
        <v>21.82342434000001</v>
      </c>
      <c r="G58" s="34">
        <f>+'Impo 2016'!G58-'Expo 2016'!G58</f>
        <v>30.332869899999995</v>
      </c>
      <c r="H58" s="34">
        <f>+'Impo 2016'!H58-'Expo 2016'!H58</f>
        <v>34.123050500000005</v>
      </c>
      <c r="I58" s="34">
        <f>+'Impo 2016'!I58-'Expo 2016'!I58</f>
        <v>32.672690330000009</v>
      </c>
      <c r="J58" s="34">
        <f>+'Impo 2016'!J58-'Expo 2016'!J58</f>
        <v>26.311423779999998</v>
      </c>
      <c r="K58" s="34">
        <f>+'Impo 2016'!K58-'Expo 2016'!K58</f>
        <v>55.635686129999989</v>
      </c>
      <c r="L58" s="34">
        <f>+'Impo 2016'!L58-'Expo 2016'!L58</f>
        <v>22.313120750000003</v>
      </c>
      <c r="M58" s="34">
        <f>+'Impo 2016'!M58-'Expo 2016'!M58</f>
        <v>42.693931990000003</v>
      </c>
      <c r="N58" s="34">
        <f>+'Impo 2016'!N58-'Expo 2016'!N58</f>
        <v>28.020177499999992</v>
      </c>
      <c r="O58" s="34">
        <f>+'Impo 2016'!O58-'Expo 2016'!O58</f>
        <v>50.557567040000016</v>
      </c>
      <c r="P58" s="34">
        <f>+SUM(D58:O58)</f>
        <v>384.15361237000008</v>
      </c>
      <c r="R58" s="14"/>
      <c r="S58" s="2"/>
      <c r="T58" s="2"/>
      <c r="U58" s="2"/>
      <c r="Y58" s="79"/>
      <c r="Z58" s="83"/>
    </row>
    <row r="59" spans="2:26" s="3" customFormat="1" ht="18" customHeight="1" thickTop="1" thickBot="1">
      <c r="B59" s="260"/>
      <c r="C59" s="29" t="s">
        <v>59</v>
      </c>
      <c r="D59" s="34">
        <f>+'Impo 2016'!D59-'Expo 2016'!D59</f>
        <v>25.173852489999998</v>
      </c>
      <c r="E59" s="34">
        <f>+'Impo 2016'!E59-'Expo 2016'!E59</f>
        <v>6.186035200000001</v>
      </c>
      <c r="F59" s="34">
        <f>+'Impo 2016'!F59-'Expo 2016'!F59</f>
        <v>15.061113930000001</v>
      </c>
      <c r="G59" s="34">
        <f>+'Impo 2016'!G59-'Expo 2016'!G59</f>
        <v>4.7779921099999996</v>
      </c>
      <c r="H59" s="34">
        <f>+'Impo 2016'!H59-'Expo 2016'!H59</f>
        <v>7.5631253299999983</v>
      </c>
      <c r="I59" s="34">
        <f>+'Impo 2016'!I59-'Expo 2016'!I59</f>
        <v>5.3828663800000021</v>
      </c>
      <c r="J59" s="34">
        <f>+'Impo 2016'!J59-'Expo 2016'!J59</f>
        <v>10.828027089999994</v>
      </c>
      <c r="K59" s="34">
        <f>+'Impo 2016'!K59-'Expo 2016'!K59</f>
        <v>20.627518599999995</v>
      </c>
      <c r="L59" s="34">
        <f>+'Impo 2016'!L59-'Expo 2016'!L59</f>
        <v>10.29668363</v>
      </c>
      <c r="M59" s="34">
        <f>+'Impo 2016'!M59-'Expo 2016'!M59</f>
        <v>9.517391380000003</v>
      </c>
      <c r="N59" s="34">
        <f>+'Impo 2016'!N59-'Expo 2016'!N59</f>
        <v>13.587962009999995</v>
      </c>
      <c r="O59" s="34">
        <f>+'Impo 2016'!O59-'Expo 2016'!O59</f>
        <v>13.345541059999999</v>
      </c>
      <c r="P59" s="34">
        <f>+SUM(D59:O59)</f>
        <v>142.34810920999996</v>
      </c>
      <c r="R59" s="14"/>
      <c r="S59" s="2"/>
      <c r="T59" s="2"/>
      <c r="U59" s="2"/>
      <c r="Y59" s="79"/>
      <c r="Z59" s="83"/>
    </row>
    <row r="60" spans="2:26" s="3" customFormat="1" ht="18" customHeight="1" thickTop="1" thickBot="1">
      <c r="B60" s="260"/>
      <c r="C60" s="29" t="s">
        <v>60</v>
      </c>
      <c r="D60" s="34">
        <f>+'Impo 2016'!D60-'Expo 2016'!D60</f>
        <v>8.1576569999999987E-2</v>
      </c>
      <c r="E60" s="34">
        <f>+'Impo 2016'!E60-'Expo 2016'!E60</f>
        <v>4.9532899999999998E-2</v>
      </c>
      <c r="F60" s="34">
        <f>+'Impo 2016'!F60-'Expo 2016'!F60</f>
        <v>0.56716513000000002</v>
      </c>
      <c r="G60" s="34">
        <f>+'Impo 2016'!G60-'Expo 2016'!G60</f>
        <v>2.7291410000000002E-2</v>
      </c>
      <c r="H60" s="34">
        <f>+'Impo 2016'!H60-'Expo 2016'!H60</f>
        <v>7.6999750000000006E-2</v>
      </c>
      <c r="I60" s="34">
        <f>+'Impo 2016'!I60-'Expo 2016'!I60</f>
        <v>0.43033203999999997</v>
      </c>
      <c r="J60" s="34">
        <f>+'Impo 2016'!J60-'Expo 2016'!J60</f>
        <v>0.37948162000000002</v>
      </c>
      <c r="K60" s="34">
        <f>+'Impo 2016'!K60-'Expo 2016'!K60</f>
        <v>0.46315411999999989</v>
      </c>
      <c r="L60" s="34">
        <f>+'Impo 2016'!L60-'Expo 2016'!L60</f>
        <v>0.20867294999999997</v>
      </c>
      <c r="M60" s="34">
        <f>+'Impo 2016'!M60-'Expo 2016'!M60</f>
        <v>0.20391579000000001</v>
      </c>
      <c r="N60" s="34">
        <f>+'Impo 2016'!N60-'Expo 2016'!N60</f>
        <v>8.209371E-2</v>
      </c>
      <c r="O60" s="34">
        <f>+'Impo 2016'!O60-'Expo 2016'!O60</f>
        <v>1.1876370599999997</v>
      </c>
      <c r="P60" s="34">
        <f>+SUM(D60:O60)</f>
        <v>3.7578530499999996</v>
      </c>
      <c r="R60" s="14"/>
      <c r="S60" s="2"/>
      <c r="T60" s="2"/>
      <c r="U60" s="2"/>
      <c r="Y60" s="79"/>
      <c r="Z60" s="83"/>
    </row>
    <row r="61" spans="2:26" s="3" customFormat="1" ht="18" customHeight="1" thickTop="1" thickBot="1">
      <c r="B61" s="260"/>
      <c r="C61" s="29" t="s">
        <v>139</v>
      </c>
      <c r="D61" s="52">
        <f t="shared" ref="D61:I61" si="30">+D58+D59+D60</f>
        <v>52.410833520000004</v>
      </c>
      <c r="E61" s="52">
        <f t="shared" si="30"/>
        <v>18.749833750000001</v>
      </c>
      <c r="F61" s="52">
        <f t="shared" si="30"/>
        <v>37.451703400000007</v>
      </c>
      <c r="G61" s="52">
        <f t="shared" si="30"/>
        <v>35.138153419999988</v>
      </c>
      <c r="H61" s="52">
        <f t="shared" si="30"/>
        <v>41.763175580000002</v>
      </c>
      <c r="I61" s="52">
        <f t="shared" si="30"/>
        <v>38.485888750000015</v>
      </c>
      <c r="J61" s="52">
        <f t="shared" ref="J61:O61" si="31">+J58+J59+J60</f>
        <v>37.51893248999999</v>
      </c>
      <c r="K61" s="52">
        <f t="shared" si="31"/>
        <v>76.726358849999983</v>
      </c>
      <c r="L61" s="52">
        <f t="shared" si="31"/>
        <v>32.81847733</v>
      </c>
      <c r="M61" s="52">
        <f t="shared" si="31"/>
        <v>52.415239160000006</v>
      </c>
      <c r="N61" s="52">
        <f t="shared" si="31"/>
        <v>41.690233219999989</v>
      </c>
      <c r="O61" s="52">
        <f t="shared" si="31"/>
        <v>65.090745160000012</v>
      </c>
      <c r="P61" s="34">
        <f>+P58+P59+P60</f>
        <v>530.25957463000009</v>
      </c>
      <c r="R61" s="46">
        <f t="shared" ref="R61" si="32">+D61+E61+F61+G61+H61+I61+J61+K61+L61+M61+N61+O61</f>
        <v>530.25957462999997</v>
      </c>
      <c r="S61" s="12">
        <f>+P61-'Consumo Aparente 2015'!R61</f>
        <v>237.52739966000013</v>
      </c>
      <c r="T61" s="2"/>
      <c r="U61" s="12"/>
      <c r="Y61" s="79"/>
      <c r="Z61" s="83"/>
    </row>
    <row r="62" spans="2:26" s="3" customFormat="1" ht="18" customHeight="1" thickTop="1" thickBot="1">
      <c r="B62" s="260"/>
      <c r="C62" s="32" t="s">
        <v>81</v>
      </c>
      <c r="D62" s="35">
        <f>+(D61-'Consumo Aparente 2015'!D61)/'Consumo Aparente 2015'!D61</f>
        <v>0.38650435090949875</v>
      </c>
      <c r="E62" s="35">
        <f>+(E61-'Consumo Aparente 2015'!E61)/'Consumo Aparente 2015'!E61</f>
        <v>-0.7479416737937854</v>
      </c>
      <c r="F62" s="35">
        <f>+(F61-'Consumo Aparente 2015'!F61)/'Consumo Aparente 2015'!F61</f>
        <v>0.3596200144317846</v>
      </c>
      <c r="G62" s="35">
        <f>+(G61-'Consumo Aparente 2015'!G61)/'Consumo Aparente 2015'!G61</f>
        <v>1.78493082554649</v>
      </c>
      <c r="H62" s="35">
        <f>+(H61-'Consumo Aparente 2015'!H61)/'Consumo Aparente 2015'!H61</f>
        <v>-3.9783763919049732E-2</v>
      </c>
      <c r="I62" s="35">
        <f>+(I61-'Consumo Aparente 2015'!I61)/'Consumo Aparente 2015'!I61</f>
        <v>0.74294007911382165</v>
      </c>
      <c r="J62" s="35">
        <f>+(J61-'Consumo Aparente 2015'!J61)/'Consumo Aparente 2015'!J61</f>
        <v>1.8649735840927086</v>
      </c>
      <c r="K62" s="35">
        <f>+(K61-'Consumo Aparente 2015'!K61)/'Consumo Aparente 2015'!K61</f>
        <v>0.24330990676902303</v>
      </c>
      <c r="L62" s="35">
        <f>+(L61-'Consumo Aparente 2015'!L61)/'Consumo Aparente 2015'!L61</f>
        <v>-0.52924736819935414</v>
      </c>
      <c r="M62" s="35">
        <f>+(M61-'Consumo Aparente 2015'!M61)/'Consumo Aparente 2015'!M61</f>
        <v>0.11887549607802578</v>
      </c>
      <c r="N62" s="35">
        <f>+(N61-'Consumo Aparente 2015'!N61)/'Consumo Aparente 2015'!N61</f>
        <v>0.27271224476591682</v>
      </c>
      <c r="O62" s="35">
        <f>+(O61-'Consumo Aparente 2015'!O61)/'Consumo Aparente 2015'!O61</f>
        <v>0.16170689901178342</v>
      </c>
      <c r="P62" s="35">
        <f>+(P61-'Consumo Aparente 2015'!P61)/'Consumo Aparente 2015'!P61</f>
        <v>6.4605736921078807E-2</v>
      </c>
      <c r="R62" s="14"/>
      <c r="S62" s="2"/>
      <c r="T62" s="2"/>
      <c r="U62" s="2"/>
      <c r="Y62" s="79"/>
      <c r="Z62" s="83"/>
    </row>
    <row r="63" spans="2:26" s="3" customFormat="1" ht="18" customHeight="1" thickTop="1" thickBot="1">
      <c r="B63" s="261" t="s">
        <v>6</v>
      </c>
      <c r="C63" s="31" t="s">
        <v>65</v>
      </c>
      <c r="D63" s="34">
        <f>+'Producción Laminados 2016'!D53+'Impo 2016'!D63-'Expo 2016'!D63</f>
        <v>7.1806379524599997</v>
      </c>
      <c r="E63" s="34">
        <f>+'Producción Laminados 2016'!E53+'Impo 2016'!E63-'Expo 2016'!E63</f>
        <v>8.249887374270001</v>
      </c>
      <c r="F63" s="34">
        <f>+'Producción Laminados 2016'!F53+'Impo 2016'!F63-'Expo 2016'!F63</f>
        <v>13.306164677400002</v>
      </c>
      <c r="G63" s="34">
        <f>+'Producción Laminados 2016'!G53+'Impo 2016'!G63-'Expo 2016'!G63</f>
        <v>10.262528604709997</v>
      </c>
      <c r="H63" s="34">
        <f>+'Producción Laminados 2016'!H53+'Impo 2016'!H63-'Expo 2016'!H63</f>
        <v>9.1867048454600013</v>
      </c>
      <c r="I63" s="34">
        <f>+'Producción Laminados 2016'!I53+'Impo 2016'!I63-'Expo 2016'!I63</f>
        <v>12.276098405856668</v>
      </c>
      <c r="J63" s="34">
        <f>+'Producción Laminados 2016'!J53+'Impo 2016'!J63-'Expo 2016'!J63</f>
        <v>9.1181661686755557</v>
      </c>
      <c r="K63" s="34">
        <f>+'Producción Laminados 2016'!K53+'Impo 2016'!K63-'Expo 2016'!K63</f>
        <v>14.055852913330741</v>
      </c>
      <c r="L63" s="34">
        <f>+'Producción Laminados 2016'!L53+'Impo 2016'!L63-'Expo 2016'!L63</f>
        <v>10.86209006</v>
      </c>
      <c r="M63" s="34">
        <f>+'Producción Laminados 2016'!M53+'Impo 2016'!M63-'Expo 2016'!M63</f>
        <v>10.745166659999999</v>
      </c>
      <c r="N63" s="34">
        <f>+'Producción Laminados 2016'!N53+'Impo 2016'!N63-'Expo 2016'!N63</f>
        <v>10.276241109999999</v>
      </c>
      <c r="O63" s="34">
        <f>+'Producción Laminados 2016'!O53+'Impo 2016'!O63-'Expo 2016'!O63</f>
        <v>9.3598422966666668</v>
      </c>
      <c r="P63" s="34">
        <f>+SUM(D63:O63)</f>
        <v>124.87938106882963</v>
      </c>
      <c r="R63" s="14"/>
      <c r="S63" s="2"/>
      <c r="T63" s="2"/>
      <c r="U63" s="2"/>
      <c r="Y63" s="79"/>
      <c r="Z63" s="83"/>
    </row>
    <row r="64" spans="2:26" s="3" customFormat="1" ht="18" customHeight="1" thickTop="1" thickBot="1">
      <c r="B64" s="261"/>
      <c r="C64" s="29" t="s">
        <v>59</v>
      </c>
      <c r="D64" s="34">
        <f>+'Producción Laminados 2016'!D54+'Impo 2016'!D64-'Expo 2016'!D64</f>
        <v>7.5317323299999996</v>
      </c>
      <c r="E64" s="34">
        <f>+'Producción Laminados 2016'!E54+'Impo 2016'!E64-'Expo 2016'!E64</f>
        <v>14.736248920000003</v>
      </c>
      <c r="F64" s="34">
        <f>+'Producción Laminados 2016'!F54+'Impo 2016'!F64-'Expo 2016'!F64</f>
        <v>9.98003997</v>
      </c>
      <c r="G64" s="34">
        <f>+'Producción Laminados 2016'!G54+'Impo 2016'!G64-'Expo 2016'!G64</f>
        <v>9.3533328000000004</v>
      </c>
      <c r="H64" s="34">
        <f>+'Producción Laminados 2016'!H54+'Impo 2016'!H64-'Expo 2016'!H64</f>
        <v>16.633150709999999</v>
      </c>
      <c r="I64" s="34">
        <f>+'Producción Laminados 2016'!I54+'Impo 2016'!I64-'Expo 2016'!I64</f>
        <v>18.57855631</v>
      </c>
      <c r="J64" s="34">
        <f>+'Producción Laminados 2016'!J54+'Impo 2016'!J64-'Expo 2016'!J64</f>
        <v>8.5195149299999997</v>
      </c>
      <c r="K64" s="34">
        <f>+'Producción Laminados 2016'!K54+'Impo 2016'!K64-'Expo 2016'!K64</f>
        <v>20.943907790000001</v>
      </c>
      <c r="L64" s="34">
        <f>+'Producción Laminados 2016'!L54+'Impo 2016'!L64-'Expo 2016'!L64</f>
        <v>10.847497080000002</v>
      </c>
      <c r="M64" s="34">
        <f>+'Producción Laminados 2016'!M54+'Impo 2016'!M64-'Expo 2016'!M64</f>
        <v>15.6670924</v>
      </c>
      <c r="N64" s="34">
        <f>+'Producción Laminados 2016'!N54+'Impo 2016'!N64-'Expo 2016'!N64</f>
        <v>21.713765280000001</v>
      </c>
      <c r="O64" s="34">
        <f>+'Producción Laminados 2016'!O54+'Impo 2016'!O64-'Expo 2016'!O64</f>
        <v>25.253382680000001</v>
      </c>
      <c r="P64" s="34">
        <f>+SUM(D64:O64)</f>
        <v>179.75822119999998</v>
      </c>
      <c r="R64" s="14"/>
      <c r="S64" s="2"/>
      <c r="T64" s="2"/>
      <c r="U64" s="2"/>
      <c r="Y64" s="79"/>
      <c r="Z64" s="83"/>
    </row>
    <row r="65" spans="2:26" s="3" customFormat="1" ht="18" customHeight="1" thickTop="1" thickBot="1">
      <c r="B65" s="261"/>
      <c r="C65" s="29" t="s">
        <v>60</v>
      </c>
      <c r="D65" s="34">
        <f>+'Producción Laminados 2016'!D55+'Impo 2016'!D65-'Expo 2016'!D65</f>
        <v>0.49791386999999993</v>
      </c>
      <c r="E65" s="34">
        <f>+'Producción Laminados 2016'!E55+'Impo 2016'!E65-'Expo 2016'!E65</f>
        <v>0.29319555000000003</v>
      </c>
      <c r="F65" s="34">
        <f>+'Producción Laminados 2016'!F55+'Impo 2016'!F65-'Expo 2016'!F65</f>
        <v>0.20792083</v>
      </c>
      <c r="G65" s="34">
        <f>+'Producción Laminados 2016'!G55+'Impo 2016'!G65-'Expo 2016'!G65</f>
        <v>0.23106126000000002</v>
      </c>
      <c r="H65" s="34">
        <f>+'Producción Laminados 2016'!H55+'Impo 2016'!H65-'Expo 2016'!H65</f>
        <v>6.969272E-2</v>
      </c>
      <c r="I65" s="34">
        <f>+'Producción Laminados 2016'!I55+'Impo 2016'!I65-'Expo 2016'!I65</f>
        <v>3.751591E-2</v>
      </c>
      <c r="J65" s="34">
        <f>+'Producción Laminados 2016'!J55+'Impo 2016'!J65-'Expo 2016'!J65</f>
        <v>5.0324899999999999E-2</v>
      </c>
      <c r="K65" s="34">
        <f>+'Producción Laminados 2016'!K55+'Impo 2016'!K65-'Expo 2016'!K65</f>
        <v>0.35409832000000002</v>
      </c>
      <c r="L65" s="34">
        <f>+'Producción Laminados 2016'!L55+'Impo 2016'!L65-'Expo 2016'!L65</f>
        <v>8.2229820000000009E-2</v>
      </c>
      <c r="M65" s="34">
        <f>+'Producción Laminados 2016'!M55+'Impo 2016'!M65-'Expo 2016'!M65</f>
        <v>0.26865947000000001</v>
      </c>
      <c r="N65" s="34">
        <f>+'Producción Laminados 2016'!N55+'Impo 2016'!N65-'Expo 2016'!N65</f>
        <v>6.354224E-2</v>
      </c>
      <c r="O65" s="34">
        <f>+'Producción Laminados 2016'!O55+'Impo 2016'!O65-'Expo 2016'!O65</f>
        <v>6.0698169999999996E-2</v>
      </c>
      <c r="P65" s="34">
        <f>+SUM(D65:O65)</f>
        <v>2.2168530599999992</v>
      </c>
      <c r="R65" s="14"/>
      <c r="S65" s="2"/>
      <c r="T65" s="2"/>
      <c r="U65" s="2"/>
      <c r="Y65" s="79"/>
      <c r="Z65" s="83"/>
    </row>
    <row r="66" spans="2:26" s="3" customFormat="1" ht="18" customHeight="1" thickTop="1" thickBot="1">
      <c r="B66" s="261"/>
      <c r="C66" s="29" t="s">
        <v>139</v>
      </c>
      <c r="D66" s="52">
        <f t="shared" ref="D66:I66" si="33">+D63+D64+D65</f>
        <v>15.21028415246</v>
      </c>
      <c r="E66" s="52">
        <f t="shared" si="33"/>
        <v>23.279331844270004</v>
      </c>
      <c r="F66" s="52">
        <f t="shared" si="33"/>
        <v>23.494125477400001</v>
      </c>
      <c r="G66" s="52">
        <f t="shared" si="33"/>
        <v>19.846922664709997</v>
      </c>
      <c r="H66" s="52">
        <f t="shared" si="33"/>
        <v>25.889548275460001</v>
      </c>
      <c r="I66" s="52">
        <f t="shared" si="33"/>
        <v>30.892170625856668</v>
      </c>
      <c r="J66" s="52">
        <f t="shared" ref="J66:O66" si="34">+J63+J64+J65</f>
        <v>17.688005998675557</v>
      </c>
      <c r="K66" s="52">
        <f t="shared" si="34"/>
        <v>35.353859023330742</v>
      </c>
      <c r="L66" s="52">
        <f t="shared" si="34"/>
        <v>21.791816960000002</v>
      </c>
      <c r="M66" s="52">
        <f t="shared" si="34"/>
        <v>26.680918529999996</v>
      </c>
      <c r="N66" s="52">
        <f t="shared" si="34"/>
        <v>32.053548629999995</v>
      </c>
      <c r="O66" s="52">
        <f t="shared" si="34"/>
        <v>34.673923146666674</v>
      </c>
      <c r="P66" s="34">
        <f>+P63+P64+P65</f>
        <v>306.8544553288296</v>
      </c>
      <c r="R66" s="46">
        <f t="shared" ref="R66" si="35">+D66+E66+F66+G66+H66+I66+J66+K66+L66+M66+N66+O66</f>
        <v>306.85445532882954</v>
      </c>
      <c r="S66" s="12">
        <f>+P66-'Consumo Aparente 2015'!R66</f>
        <v>95.673132975829617</v>
      </c>
      <c r="T66" s="2"/>
      <c r="U66" s="12"/>
      <c r="Y66" s="79"/>
      <c r="Z66" s="83"/>
    </row>
    <row r="67" spans="2:26" s="3" customFormat="1" ht="18" customHeight="1" thickTop="1" thickBot="1">
      <c r="B67" s="261"/>
      <c r="C67" s="32" t="s">
        <v>81</v>
      </c>
      <c r="D67" s="35">
        <f>+(D66-'Consumo Aparente 2015'!D66)/'Consumo Aparente 2015'!D66</f>
        <v>-0.32667015507369429</v>
      </c>
      <c r="E67" s="35">
        <f>+(E66-'Consumo Aparente 2015'!E66)/'Consumo Aparente 2015'!E66</f>
        <v>-2.7561432903905236E-2</v>
      </c>
      <c r="F67" s="35">
        <f>+(F66-'Consumo Aparente 2015'!F66)/'Consumo Aparente 2015'!F66</f>
        <v>-4.5112134160474222E-2</v>
      </c>
      <c r="G67" s="35">
        <f>+(G66-'Consumo Aparente 2015'!G66)/'Consumo Aparente 2015'!G66</f>
        <v>-0.33609639340649455</v>
      </c>
      <c r="H67" s="35">
        <f>+(H66-'Consumo Aparente 2015'!H66)/'Consumo Aparente 2015'!H66</f>
        <v>0.38521874440944937</v>
      </c>
      <c r="I67" s="35">
        <f>+(I66-'Consumo Aparente 2015'!I66)/'Consumo Aparente 2015'!I66</f>
        <v>-0.27242959648472098</v>
      </c>
      <c r="J67" s="35">
        <f>+(J66-'Consumo Aparente 2015'!J66)/'Consumo Aparente 2015'!J66</f>
        <v>-0.33072013046412335</v>
      </c>
      <c r="K67" s="35">
        <f>+(K66-'Consumo Aparente 2015'!K66)/'Consumo Aparente 2015'!K66</f>
        <v>0.56595410029635873</v>
      </c>
      <c r="L67" s="35">
        <f>+(L66-'Consumo Aparente 2015'!L66)/'Consumo Aparente 2015'!L66</f>
        <v>-0.25576362740719394</v>
      </c>
      <c r="M67" s="35">
        <f>+(M66-'Consumo Aparente 2015'!M66)/'Consumo Aparente 2015'!M66</f>
        <v>-8.5317937293757737E-2</v>
      </c>
      <c r="N67" s="35">
        <f>+(N66-'Consumo Aparente 2015'!N66)/'Consumo Aparente 2015'!N66</f>
        <v>0.12881398105520961</v>
      </c>
      <c r="O67" s="35">
        <f>+(O66-'Consumo Aparente 2015'!O66)/'Consumo Aparente 2015'!O66</f>
        <v>6.7710639808932618E-2</v>
      </c>
      <c r="P67" s="35">
        <f>+(P66-'Consumo Aparente 2015'!P66)/'Consumo Aparente 2015'!P66</f>
        <v>-7.1551788294218752E-2</v>
      </c>
      <c r="R67" s="14"/>
      <c r="S67" s="2"/>
      <c r="T67" s="2"/>
      <c r="U67" s="2"/>
      <c r="Y67" s="79"/>
      <c r="Z67" s="83"/>
    </row>
    <row r="68" spans="2:26" s="3" customFormat="1" ht="18" customHeight="1" thickTop="1" thickBot="1">
      <c r="B68" s="261" t="s">
        <v>44</v>
      </c>
      <c r="C68" s="31" t="s">
        <v>65</v>
      </c>
      <c r="D68" s="34">
        <f>+'Producción Laminados 2016'!D58+'Impo 2016'!D68-'Expo 2016'!D68</f>
        <v>200.24911547999997</v>
      </c>
      <c r="E68" s="34">
        <f>+'Producción Laminados 2016'!E58+'Impo 2016'!E68-'Expo 2016'!E68</f>
        <v>174.55730979899988</v>
      </c>
      <c r="F68" s="34">
        <f>+'Producción Laminados 2016'!F58+'Impo 2016'!F68-'Expo 2016'!F68</f>
        <v>174.95193417700003</v>
      </c>
      <c r="G68" s="34">
        <f>+'Producción Laminados 2016'!G58+'Impo 2016'!G68-'Expo 2016'!G68</f>
        <v>176.13008172999977</v>
      </c>
      <c r="H68" s="34">
        <f>+'Producción Laminados 2016'!H58+'Impo 2016'!H68-'Expo 2016'!H68</f>
        <v>139.24991296900004</v>
      </c>
      <c r="I68" s="34">
        <f>+'Producción Laminados 2016'!I58+'Impo 2016'!I68-'Expo 2016'!I68</f>
        <v>194.03121495899981</v>
      </c>
      <c r="J68" s="34">
        <f>+'Producción Laminados 2016'!J58+'Impo 2016'!J68-'Expo 2016'!J68</f>
        <v>172.2144025580001</v>
      </c>
      <c r="K68" s="34">
        <f>+'Producción Laminados 2016'!K58+'Impo 2016'!K68-'Expo 2016'!K68</f>
        <v>141.80985139600006</v>
      </c>
      <c r="L68" s="34">
        <f>+'Producción Laminados 2016'!L58+'Impo 2016'!L68-'Expo 2016'!L68</f>
        <v>133.44262153800008</v>
      </c>
      <c r="M68" s="34">
        <f>+'Producción Laminados 2016'!M58+'Impo 2016'!M68-'Expo 2016'!M68</f>
        <v>166.54223447499999</v>
      </c>
      <c r="N68" s="34">
        <f>+'Producción Laminados 2016'!N58+'Impo 2016'!N68-'Expo 2016'!N68</f>
        <v>148.87186223800012</v>
      </c>
      <c r="O68" s="34">
        <f>+'Producción Laminados 2016'!O58+'Impo 2016'!O68-'Expo 2016'!O68</f>
        <v>144.0452476636668</v>
      </c>
      <c r="P68" s="34">
        <f>+SUM(D68:O68)</f>
        <v>1966.0957889826666</v>
      </c>
      <c r="R68" s="14"/>
      <c r="S68" s="2"/>
      <c r="T68" s="2"/>
      <c r="U68" s="2"/>
      <c r="Y68" s="79"/>
      <c r="Z68" s="83"/>
    </row>
    <row r="69" spans="2:26" s="3" customFormat="1" ht="18" customHeight="1" thickTop="1" thickBot="1">
      <c r="B69" s="261"/>
      <c r="C69" s="29" t="s">
        <v>59</v>
      </c>
      <c r="D69" s="34">
        <f>+'Producción Laminados 2016'!D59+'Impo 2016'!D69-'Expo 2016'!D69</f>
        <v>68.877157981000011</v>
      </c>
      <c r="E69" s="34">
        <f>+'Producción Laminados 2016'!E59+'Impo 2016'!E69-'Expo 2016'!E69</f>
        <v>84.423800076999967</v>
      </c>
      <c r="F69" s="34">
        <f>+'Producción Laminados 2016'!F59+'Impo 2016'!F69-'Expo 2016'!F69</f>
        <v>56.713533346000027</v>
      </c>
      <c r="G69" s="34">
        <f>+'Producción Laminados 2016'!G59+'Impo 2016'!G69-'Expo 2016'!G69</f>
        <v>95.171888069000005</v>
      </c>
      <c r="H69" s="34">
        <f>+'Producción Laminados 2016'!H59+'Impo 2016'!H69-'Expo 2016'!H69</f>
        <v>68.207256860000044</v>
      </c>
      <c r="I69" s="34">
        <f>+'Producción Laminados 2016'!I59+'Impo 2016'!I69-'Expo 2016'!I69</f>
        <v>80.60269244499996</v>
      </c>
      <c r="J69" s="34">
        <f>+'Producción Laminados 2016'!J59+'Impo 2016'!J69-'Expo 2016'!J69</f>
        <v>59.867965660000003</v>
      </c>
      <c r="K69" s="34">
        <f>+'Producción Laminados 2016'!K59+'Impo 2016'!K69-'Expo 2016'!K69</f>
        <v>95.492922666999974</v>
      </c>
      <c r="L69" s="34">
        <f>+'Producción Laminados 2016'!L59+'Impo 2016'!L69-'Expo 2016'!L69</f>
        <v>84.046077777000008</v>
      </c>
      <c r="M69" s="34">
        <f>+'Producción Laminados 2016'!M59+'Impo 2016'!M69-'Expo 2016'!M69</f>
        <v>97.887205810999987</v>
      </c>
      <c r="N69" s="34">
        <f>+'Producción Laminados 2016'!N59+'Impo 2016'!N69-'Expo 2016'!N69</f>
        <v>56.696215457999998</v>
      </c>
      <c r="O69" s="34">
        <f>+'Producción Laminados 2016'!O59+'Impo 2016'!O69-'Expo 2016'!O69</f>
        <v>94.873729689999948</v>
      </c>
      <c r="P69" s="34">
        <f>+SUM(D69:O69)</f>
        <v>942.860445841</v>
      </c>
      <c r="R69" s="14"/>
      <c r="S69" s="2"/>
      <c r="T69" s="2"/>
      <c r="U69" s="2"/>
      <c r="Y69" s="79"/>
      <c r="Z69" s="83"/>
    </row>
    <row r="70" spans="2:26" s="3" customFormat="1" ht="18" customHeight="1" thickTop="1" thickBot="1">
      <c r="B70" s="261"/>
      <c r="C70" s="29" t="s">
        <v>60</v>
      </c>
      <c r="D70" s="34">
        <f>+'Producción Laminados 2016'!D60+'Impo 2016'!D70-'Expo 2016'!D70</f>
        <v>7.4489002499999941</v>
      </c>
      <c r="E70" s="34">
        <f>+'Producción Laminados 2016'!E60+'Impo 2016'!E70-'Expo 2016'!E70</f>
        <v>2.4451691400000013</v>
      </c>
      <c r="F70" s="34">
        <f>+'Producción Laminados 2016'!F60+'Impo 2016'!F70-'Expo 2016'!F70</f>
        <v>4.2233902099999971</v>
      </c>
      <c r="G70" s="34">
        <f>+'Producción Laminados 2016'!G60+'Impo 2016'!G70-'Expo 2016'!G70</f>
        <v>6.462872090000003</v>
      </c>
      <c r="H70" s="34">
        <f>+'Producción Laminados 2016'!H60+'Impo 2016'!H70-'Expo 2016'!H70</f>
        <v>0.92929378000000007</v>
      </c>
      <c r="I70" s="34">
        <f>+'Producción Laminados 2016'!I60+'Impo 2016'!I70-'Expo 2016'!I70</f>
        <v>4.2560223299999986</v>
      </c>
      <c r="J70" s="34">
        <f>+'Producción Laminados 2016'!J60+'Impo 2016'!J70-'Expo 2016'!J70</f>
        <v>5.6385508100000061</v>
      </c>
      <c r="K70" s="34">
        <f>+'Producción Laminados 2016'!K60+'Impo 2016'!K70-'Expo 2016'!K70</f>
        <v>6.3861339399999997</v>
      </c>
      <c r="L70" s="34">
        <f>+'Producción Laminados 2016'!L60+'Impo 2016'!L70-'Expo 2016'!L70</f>
        <v>4.2868398300000097</v>
      </c>
      <c r="M70" s="34">
        <f>+'Producción Laminados 2016'!M60+'Impo 2016'!M70-'Expo 2016'!M70</f>
        <v>2.7245999400000009</v>
      </c>
      <c r="N70" s="34">
        <f>+'Producción Laminados 2016'!N60+'Impo 2016'!N70-'Expo 2016'!N70</f>
        <v>3.7066962399999963</v>
      </c>
      <c r="O70" s="34">
        <f>+'Producción Laminados 2016'!O60+'Impo 2016'!O70-'Expo 2016'!O70</f>
        <v>7.2297704500000002</v>
      </c>
      <c r="P70" s="34">
        <f>+SUM(D70:O70)</f>
        <v>55.738239010000015</v>
      </c>
      <c r="R70" s="14"/>
      <c r="S70" s="2"/>
      <c r="T70" s="2"/>
      <c r="U70" s="2"/>
      <c r="Y70" s="79"/>
      <c r="Z70" s="83"/>
    </row>
    <row r="71" spans="2:26" s="3" customFormat="1" ht="18" customHeight="1" thickTop="1" thickBot="1">
      <c r="B71" s="261"/>
      <c r="C71" s="29" t="s">
        <v>139</v>
      </c>
      <c r="D71" s="52">
        <f t="shared" ref="D71:I71" si="36">+D68+D69+D70</f>
        <v>276.57517371099999</v>
      </c>
      <c r="E71" s="52">
        <f t="shared" si="36"/>
        <v>261.42627901599985</v>
      </c>
      <c r="F71" s="52">
        <f t="shared" si="36"/>
        <v>235.88885773300004</v>
      </c>
      <c r="G71" s="52">
        <f t="shared" si="36"/>
        <v>277.7648418889998</v>
      </c>
      <c r="H71" s="52">
        <f t="shared" si="36"/>
        <v>208.38646360900006</v>
      </c>
      <c r="I71" s="52">
        <f t="shared" si="36"/>
        <v>278.88992973399979</v>
      </c>
      <c r="J71" s="52">
        <f t="shared" ref="J71:O71" si="37">+J68+J69+J70</f>
        <v>237.72091902800011</v>
      </c>
      <c r="K71" s="52">
        <f t="shared" si="37"/>
        <v>243.68890800300002</v>
      </c>
      <c r="L71" s="52">
        <f t="shared" si="37"/>
        <v>221.7755391450001</v>
      </c>
      <c r="M71" s="52">
        <f t="shared" si="37"/>
        <v>267.15404022600001</v>
      </c>
      <c r="N71" s="52">
        <f t="shared" si="37"/>
        <v>209.27477393600009</v>
      </c>
      <c r="O71" s="52">
        <f t="shared" si="37"/>
        <v>246.14874780366674</v>
      </c>
      <c r="P71" s="34">
        <f>+P68+P69+P70</f>
        <v>2964.694473833667</v>
      </c>
      <c r="R71" s="46">
        <f t="shared" ref="R71" si="38">+D71+E71+F71+G71+H71+I71+J71+K71+L71+M71+N71+O71</f>
        <v>2964.6944738336665</v>
      </c>
      <c r="S71" s="12">
        <f>+P71-'Consumo Aparente 2015'!R71</f>
        <v>1089.344904403667</v>
      </c>
      <c r="T71" s="2"/>
      <c r="U71" s="12"/>
      <c r="Y71" s="79"/>
      <c r="Z71" s="83"/>
    </row>
    <row r="72" spans="2:26" s="3" customFormat="1" ht="18" customHeight="1" thickTop="1" thickBot="1">
      <c r="B72" s="261"/>
      <c r="C72" s="32" t="s">
        <v>81</v>
      </c>
      <c r="D72" s="35">
        <f>+(D71-'Consumo Aparente 2015'!D71)/'Consumo Aparente 2015'!D71</f>
        <v>6.8147504974742854E-2</v>
      </c>
      <c r="E72" s="35">
        <f>+(E71-'Consumo Aparente 2015'!E71)/'Consumo Aparente 2015'!E71</f>
        <v>-0.20324552441328622</v>
      </c>
      <c r="F72" s="35">
        <f>+(F71-'Consumo Aparente 2015'!F71)/'Consumo Aparente 2015'!F71</f>
        <v>-2.1002596120327063E-2</v>
      </c>
      <c r="G72" s="35">
        <f>+(G71-'Consumo Aparente 2015'!G71)/'Consumo Aparente 2015'!G71</f>
        <v>0.26199273999327249</v>
      </c>
      <c r="H72" s="35">
        <f>+(H71-'Consumo Aparente 2015'!H71)/'Consumo Aparente 2015'!H71</f>
        <v>0.18884519303229497</v>
      </c>
      <c r="I72" s="35">
        <f>+(I71-'Consumo Aparente 2015'!I71)/'Consumo Aparente 2015'!I71</f>
        <v>0.18557612375579438</v>
      </c>
      <c r="J72" s="35">
        <f>+(J71-'Consumo Aparente 2015'!J71)/'Consumo Aparente 2015'!J71</f>
        <v>9.5662068930721031E-2</v>
      </c>
      <c r="K72" s="35">
        <f>+(K71-'Consumo Aparente 2015'!K71)/'Consumo Aparente 2015'!K71</f>
        <v>0.21984664132032969</v>
      </c>
      <c r="L72" s="35">
        <f>+(L71-'Consumo Aparente 2015'!L71)/'Consumo Aparente 2015'!L71</f>
        <v>-2.1141817488602787E-2</v>
      </c>
      <c r="M72" s="35">
        <f>+(M71-'Consumo Aparente 2015'!M71)/'Consumo Aparente 2015'!M71</f>
        <v>0.21854045510986247</v>
      </c>
      <c r="N72" s="35">
        <f>+(N71-'Consumo Aparente 2015'!N71)/'Consumo Aparente 2015'!N71</f>
        <v>-0.14218340154434747</v>
      </c>
      <c r="O72" s="35">
        <f>+(O71-'Consumo Aparente 2015'!O71)/'Consumo Aparente 2015'!O71</f>
        <v>0.18050834261939372</v>
      </c>
      <c r="P72" s="35">
        <f>+(P71-'Consumo Aparente 2015'!P71)/'Consumo Aparente 2015'!P71</f>
        <v>6.8886427879634046E-2</v>
      </c>
      <c r="R72" s="14"/>
      <c r="S72" s="2"/>
      <c r="T72" s="2"/>
      <c r="U72" s="2"/>
      <c r="Y72" s="79"/>
      <c r="Z72" s="83"/>
    </row>
    <row r="73" spans="2:26" s="3" customFormat="1" ht="18" customHeight="1" thickTop="1" thickBot="1">
      <c r="B73" s="261" t="s">
        <v>64</v>
      </c>
      <c r="C73" s="31" t="s">
        <v>65</v>
      </c>
      <c r="D73" s="34">
        <f>+'Producción Laminados 2016'!D63</f>
        <v>39.97945</v>
      </c>
      <c r="E73" s="34">
        <f>+'Producción Laminados 2016'!E63</f>
        <v>37.125319999999995</v>
      </c>
      <c r="F73" s="34">
        <f>+'Producción Laminados 2016'!F63</f>
        <v>40.156610000000001</v>
      </c>
      <c r="G73" s="34">
        <f>+'Producción Laminados 2016'!G63</f>
        <v>36</v>
      </c>
      <c r="H73" s="34">
        <f>+'Producción Laminados 2016'!H63</f>
        <v>34.013976666666665</v>
      </c>
      <c r="I73" s="34">
        <f>+'Producción Laminados 2016'!I63</f>
        <v>32.976862222222223</v>
      </c>
      <c r="J73" s="34">
        <f>+'Producción Laminados 2016'!J63</f>
        <v>40</v>
      </c>
      <c r="K73" s="34">
        <f>+'Producción Laminados 2016'!K63</f>
        <v>32.524817283950618</v>
      </c>
      <c r="L73" s="34">
        <f>+'Producción Laminados 2016'!L63</f>
        <v>32</v>
      </c>
      <c r="M73" s="34">
        <f>+'Producción Laminados 2016'!M63</f>
        <v>36</v>
      </c>
      <c r="N73" s="34">
        <f>+'Producción Laminados 2016'!N63</f>
        <v>36</v>
      </c>
      <c r="O73" s="34">
        <f>+'Producción Laminados 2016'!O63</f>
        <v>39</v>
      </c>
      <c r="P73" s="34">
        <f t="shared" ref="P73:P90" si="39">+SUM(D73:O73)</f>
        <v>435.77703617283947</v>
      </c>
      <c r="R73" s="14"/>
      <c r="S73" s="2"/>
      <c r="T73" s="2"/>
      <c r="U73" s="2"/>
      <c r="Y73" s="79"/>
      <c r="Z73" s="83"/>
    </row>
    <row r="74" spans="2:26" s="3" customFormat="1" ht="18" customHeight="1" thickTop="1" thickBot="1">
      <c r="B74" s="261"/>
      <c r="C74" s="29" t="s">
        <v>59</v>
      </c>
      <c r="D74" s="34">
        <f>+'Producción Laminados 2015'!D64</f>
        <v>0</v>
      </c>
      <c r="E74" s="34">
        <f>+'Producción Laminados 2015'!E64</f>
        <v>0</v>
      </c>
      <c r="F74" s="34">
        <f>+'Producción Laminados 2015'!F64</f>
        <v>0</v>
      </c>
      <c r="G74" s="34">
        <f>+'Producción Laminados 2015'!G64</f>
        <v>0</v>
      </c>
      <c r="H74" s="34">
        <f>+'Producción Laminados 2015'!H64</f>
        <v>0</v>
      </c>
      <c r="I74" s="34">
        <f>+'Producción Laminados 2015'!I64</f>
        <v>0</v>
      </c>
      <c r="J74" s="34">
        <f>+'Producción Laminados 2015'!J64</f>
        <v>0</v>
      </c>
      <c r="K74" s="34">
        <f>+'Producción Laminados 2015'!K64</f>
        <v>0</v>
      </c>
      <c r="L74" s="34">
        <f>+'Producción Laminados 2015'!L64</f>
        <v>0</v>
      </c>
      <c r="M74" s="34">
        <f>+'Producción Laminados 2015'!M64</f>
        <v>0</v>
      </c>
      <c r="N74" s="34">
        <f>+'Producción Laminados 2015'!N64</f>
        <v>0</v>
      </c>
      <c r="O74" s="34">
        <f>+'Producción Laminados 2015'!O64</f>
        <v>0</v>
      </c>
      <c r="P74" s="34">
        <f t="shared" si="39"/>
        <v>0</v>
      </c>
      <c r="R74" s="14"/>
      <c r="S74" s="2"/>
      <c r="T74" s="2"/>
      <c r="U74" s="2"/>
      <c r="Y74" s="79"/>
      <c r="Z74" s="83"/>
    </row>
    <row r="75" spans="2:26" s="3" customFormat="1" ht="18" customHeight="1" thickTop="1" thickBot="1">
      <c r="B75" s="261"/>
      <c r="C75" s="29" t="s">
        <v>60</v>
      </c>
      <c r="D75" s="34">
        <f>+'Producción Laminados 2015'!D65</f>
        <v>0</v>
      </c>
      <c r="E75" s="34">
        <f>+'Producción Laminados 2015'!E65</f>
        <v>0</v>
      </c>
      <c r="F75" s="34">
        <f>+'Producción Laminados 2015'!F65</f>
        <v>0</v>
      </c>
      <c r="G75" s="34">
        <f>+'Producción Laminados 2015'!G65</f>
        <v>0</v>
      </c>
      <c r="H75" s="34">
        <f>+'Producción Laminados 2015'!H65</f>
        <v>0</v>
      </c>
      <c r="I75" s="34">
        <f>+'Producción Laminados 2015'!I65</f>
        <v>0</v>
      </c>
      <c r="J75" s="34">
        <f>+'Producción Laminados 2015'!J65</f>
        <v>0</v>
      </c>
      <c r="K75" s="34">
        <f>+'Producción Laminados 2015'!K65</f>
        <v>0</v>
      </c>
      <c r="L75" s="34">
        <f>+'Producción Laminados 2015'!L65</f>
        <v>0</v>
      </c>
      <c r="M75" s="34">
        <f>+'Producción Laminados 2015'!M65</f>
        <v>0</v>
      </c>
      <c r="N75" s="34">
        <f>+'Producción Laminados 2015'!N65</f>
        <v>0</v>
      </c>
      <c r="O75" s="34">
        <f>+'Producción Laminados 2015'!O65</f>
        <v>0</v>
      </c>
      <c r="P75" s="34">
        <f t="shared" si="39"/>
        <v>0</v>
      </c>
      <c r="R75" s="14"/>
      <c r="S75" s="2"/>
      <c r="T75" s="2"/>
      <c r="U75" s="2"/>
      <c r="Y75" s="79"/>
      <c r="Z75" s="83"/>
    </row>
    <row r="76" spans="2:26" s="3" customFormat="1" ht="18" customHeight="1" thickTop="1" thickBot="1">
      <c r="B76" s="261"/>
      <c r="C76" s="29" t="s">
        <v>139</v>
      </c>
      <c r="D76" s="52">
        <f t="shared" ref="D76:I76" si="40">+D73+D74+D75</f>
        <v>39.97945</v>
      </c>
      <c r="E76" s="52">
        <f t="shared" si="40"/>
        <v>37.125319999999995</v>
      </c>
      <c r="F76" s="52">
        <f t="shared" si="40"/>
        <v>40.156610000000001</v>
      </c>
      <c r="G76" s="52">
        <f t="shared" si="40"/>
        <v>36</v>
      </c>
      <c r="H76" s="52">
        <f t="shared" si="40"/>
        <v>34.013976666666665</v>
      </c>
      <c r="I76" s="52">
        <f t="shared" si="40"/>
        <v>32.976862222222223</v>
      </c>
      <c r="J76" s="52">
        <f t="shared" ref="J76:O76" si="41">+J73+J74+J75</f>
        <v>40</v>
      </c>
      <c r="K76" s="52">
        <f t="shared" si="41"/>
        <v>32.524817283950618</v>
      </c>
      <c r="L76" s="52">
        <f t="shared" si="41"/>
        <v>32</v>
      </c>
      <c r="M76" s="52">
        <f t="shared" si="41"/>
        <v>36</v>
      </c>
      <c r="N76" s="52">
        <f t="shared" si="41"/>
        <v>36</v>
      </c>
      <c r="O76" s="52">
        <f t="shared" si="41"/>
        <v>39</v>
      </c>
      <c r="P76" s="34">
        <f>+P73+P74+P75</f>
        <v>435.77703617283947</v>
      </c>
      <c r="R76" s="46">
        <f t="shared" ref="R76" si="42">+D76+E76+F76+G76+H76+I76+J76+K76+L76+M76+N76+O76</f>
        <v>435.77703617283947</v>
      </c>
      <c r="S76" s="12">
        <f>+P76-'Consumo Aparente 2015'!R76</f>
        <v>151.26703617283948</v>
      </c>
      <c r="T76" s="2"/>
      <c r="U76" s="12"/>
      <c r="Y76" s="79"/>
      <c r="Z76" s="83"/>
    </row>
    <row r="77" spans="2:26" s="3" customFormat="1" ht="18" customHeight="1" thickTop="1" thickBot="1">
      <c r="B77" s="261"/>
      <c r="C77" s="32" t="s">
        <v>81</v>
      </c>
      <c r="D77" s="35">
        <f>+(D76-'Consumo Aparente 2015'!D76)/'Consumo Aparente 2015'!D76</f>
        <v>3.0000000000000058E-2</v>
      </c>
      <c r="E77" s="35">
        <f>+(E76-'Consumo Aparente 2015'!E76)/'Consumo Aparente 2015'!E76</f>
        <v>2.999999999999995E-2</v>
      </c>
      <c r="F77" s="35">
        <f>+(F76-'Consumo Aparente 2015'!F76)/'Consumo Aparente 2015'!F76</f>
        <v>2.9999999999999964E-2</v>
      </c>
      <c r="G77" s="35">
        <f>+(G76-'Consumo Aparente 2015'!G76)/'Consumo Aparente 2015'!G76</f>
        <v>0.41788105553367466</v>
      </c>
      <c r="H77" s="35">
        <f>+(H76-'Consumo Aparente 2015'!H76)/'Consumo Aparente 2015'!H76</f>
        <v>4.0723821762588035E-2</v>
      </c>
      <c r="I77" s="35">
        <f>+(I76-'Consumo Aparente 2015'!I76)/'Consumo Aparente 2015'!I76</f>
        <v>-0.16242857304119113</v>
      </c>
      <c r="J77" s="35">
        <f>+(J76-'Consumo Aparente 2015'!J76)/'Consumo Aparente 2015'!J76</f>
        <v>0.17408788047785367</v>
      </c>
      <c r="K77" s="35">
        <f>+(K76-'Consumo Aparente 2015'!K76)/'Consumo Aparente 2015'!K76</f>
        <v>-0.16922561215962659</v>
      </c>
      <c r="L77" s="35">
        <f>+(L76-'Consumo Aparente 2015'!L76)/'Consumo Aparente 2015'!L76</f>
        <v>-0.23867529501332313</v>
      </c>
      <c r="M77" s="35">
        <f>+(M76-'Consumo Aparente 2015'!M76)/'Consumo Aparente 2015'!M76</f>
        <v>-0.28520371694067187</v>
      </c>
      <c r="N77" s="35">
        <f>+(N76-'Consumo Aparente 2015'!N76)/'Consumo Aparente 2015'!N76</f>
        <v>0.26085738302045391</v>
      </c>
      <c r="O77" s="35">
        <f>+(O76-'Consumo Aparente 2015'!O76)/'Consumo Aparente 2015'!O76</f>
        <v>0.92545050604788948</v>
      </c>
      <c r="P77" s="35">
        <f>+(P76-'Consumo Aparente 2015'!P76)/'Consumo Aparente 2015'!P76</f>
        <v>2.3640424823389253E-2</v>
      </c>
      <c r="R77" s="14"/>
      <c r="S77" s="2"/>
      <c r="T77" s="2"/>
      <c r="U77" s="2"/>
      <c r="Y77" s="79"/>
      <c r="Z77" s="83"/>
    </row>
    <row r="78" spans="2:26" s="3" customFormat="1" ht="18" customHeight="1" thickTop="1" thickBot="1">
      <c r="B78" s="260" t="s">
        <v>7</v>
      </c>
      <c r="C78" s="31" t="s">
        <v>65</v>
      </c>
      <c r="D78" s="34">
        <f>+'Producción Laminados 2016'!D68+'Impo 2016'!D73-'Expo 2016'!D73</f>
        <v>8.0281825351999991</v>
      </c>
      <c r="E78" s="34">
        <f>+'Producción Laminados 2016'!E68+'Impo 2016'!E73-'Expo 2016'!E73</f>
        <v>5.9767884750699993</v>
      </c>
      <c r="F78" s="34">
        <f>+'Producción Laminados 2016'!F68+'Impo 2016'!F73-'Expo 2016'!F73</f>
        <v>11.297593955390001</v>
      </c>
      <c r="G78" s="34">
        <f>+'Producción Laminados 2016'!G68+'Impo 2016'!G73-'Expo 2016'!G73</f>
        <v>8.2590003418866669</v>
      </c>
      <c r="H78" s="34">
        <f>+'Producción Laminados 2016'!H68+'Impo 2016'!H73-'Expo 2016'!H73</f>
        <v>8.9093363441155553</v>
      </c>
      <c r="I78" s="34">
        <f>+'Producción Laminados 2016'!I68+'Impo 2016'!I73-'Expo 2016'!I73</f>
        <v>13.510528579999999</v>
      </c>
      <c r="J78" s="34">
        <f>+'Producción Laminados 2016'!J68+'Impo 2016'!J73-'Expo 2016'!J73</f>
        <v>11.74765371</v>
      </c>
      <c r="K78" s="34">
        <f>+'Producción Laminados 2016'!K68+'Impo 2016'!K73-'Expo 2016'!K73</f>
        <v>10.111853091371852</v>
      </c>
      <c r="L78" s="34">
        <f>+'Producción Laminados 2016'!L68+'Impo 2016'!L73-'Expo 2016'!L73</f>
        <v>9.5266710000000003</v>
      </c>
      <c r="M78" s="34">
        <f>+'Producción Laminados 2016'!M68+'Impo 2016'!M73-'Expo 2016'!M73</f>
        <v>9.5136817800000006</v>
      </c>
      <c r="N78" s="34">
        <f>+'Producción Laminados 2016'!N68+'Impo 2016'!N73-'Expo 2016'!N73</f>
        <v>8.0971800700000003</v>
      </c>
      <c r="O78" s="34">
        <f>+'Producción Laminados 2016'!O68+'Impo 2016'!O73-'Expo 2016'!O73</f>
        <v>9.4213248099999998</v>
      </c>
      <c r="P78" s="34">
        <f>+SUM(D78:O78)</f>
        <v>114.39979469303405</v>
      </c>
      <c r="R78" s="14"/>
      <c r="S78" s="2"/>
      <c r="T78" s="2"/>
      <c r="U78" s="2"/>
      <c r="Y78" s="79"/>
      <c r="Z78" s="83"/>
    </row>
    <row r="79" spans="2:26" s="3" customFormat="1" ht="18" customHeight="1" thickTop="1" thickBot="1">
      <c r="B79" s="260"/>
      <c r="C79" s="29" t="s">
        <v>59</v>
      </c>
      <c r="D79" s="34">
        <f>+'Producción Laminados 2016'!D69+'Impo 2016'!D74-'Expo 2016'!D74</f>
        <v>6.2298590000000003</v>
      </c>
      <c r="E79" s="34">
        <f>+'Producción Laminados 2016'!E69+'Impo 2016'!E74-'Expo 2016'!E74</f>
        <v>4.8139513900000006</v>
      </c>
      <c r="F79" s="34">
        <f>+'Producción Laminados 2016'!F69+'Impo 2016'!F74-'Expo 2016'!F74</f>
        <v>6.9629356700000011</v>
      </c>
      <c r="G79" s="34">
        <f>+'Producción Laminados 2016'!G69+'Impo 2016'!G74-'Expo 2016'!G74</f>
        <v>6.0414237699999997</v>
      </c>
      <c r="H79" s="34">
        <f>+'Producción Laminados 2016'!H69+'Impo 2016'!H74-'Expo 2016'!H74</f>
        <v>9.5333532400000003</v>
      </c>
      <c r="I79" s="34">
        <f>+'Producción Laminados 2016'!I69+'Impo 2016'!I74-'Expo 2016'!I74</f>
        <v>5.7952151199999999</v>
      </c>
      <c r="J79" s="34">
        <f>+'Producción Laminados 2016'!J69+'Impo 2016'!J74-'Expo 2016'!J74</f>
        <v>5.3025954400000002</v>
      </c>
      <c r="K79" s="34">
        <f>+'Producción Laminados 2016'!K69+'Impo 2016'!K74-'Expo 2016'!K74</f>
        <v>8.1776503099999989</v>
      </c>
      <c r="L79" s="34">
        <f>+'Producción Laminados 2016'!L69+'Impo 2016'!L74-'Expo 2016'!L74</f>
        <v>6.9557289999999998</v>
      </c>
      <c r="M79" s="34">
        <f>+'Producción Laminados 2016'!M69+'Impo 2016'!M74-'Expo 2016'!M74</f>
        <v>6.2622147499999992</v>
      </c>
      <c r="N79" s="34">
        <f>+'Producción Laminados 2016'!N69+'Impo 2016'!N74-'Expo 2016'!N74</f>
        <v>8.295132060000002</v>
      </c>
      <c r="O79" s="34">
        <f>+'Producción Laminados 2016'!O69+'Impo 2016'!O74-'Expo 2016'!O74</f>
        <v>6.2309913500000018</v>
      </c>
      <c r="P79" s="34">
        <f t="shared" si="39"/>
        <v>80.601051099999992</v>
      </c>
      <c r="R79" s="14"/>
      <c r="S79" s="2"/>
      <c r="T79" s="2"/>
      <c r="U79" s="2"/>
      <c r="Y79" s="79"/>
      <c r="Z79" s="83"/>
    </row>
    <row r="80" spans="2:26" s="3" customFormat="1" ht="18" customHeight="1" thickTop="1" thickBot="1">
      <c r="B80" s="260"/>
      <c r="C80" s="29" t="s">
        <v>60</v>
      </c>
      <c r="D80" s="34">
        <f>+'Producción Laminados 2016'!D70+'Impo 2016'!D75-'Expo 2016'!D75</f>
        <v>0.106806</v>
      </c>
      <c r="E80" s="34">
        <f>+'Producción Laminados 2016'!E70+'Impo 2016'!E75-'Expo 2016'!E75</f>
        <v>9.3703580000000022E-2</v>
      </c>
      <c r="F80" s="34">
        <f>+'Producción Laminados 2016'!F70+'Impo 2016'!F75-'Expo 2016'!F75</f>
        <v>0.36506489000000009</v>
      </c>
      <c r="G80" s="34">
        <f>+'Producción Laminados 2016'!G70+'Impo 2016'!G75-'Expo 2016'!G75</f>
        <v>4.0150219999999993E-2</v>
      </c>
      <c r="H80" s="34">
        <f>+'Producción Laminados 2016'!H70+'Impo 2016'!H75-'Expo 2016'!H75</f>
        <v>0.24889048999999988</v>
      </c>
      <c r="I80" s="34">
        <f>+'Producción Laminados 2016'!I70+'Impo 2016'!I75-'Expo 2016'!I75</f>
        <v>8.6831520000000009E-2</v>
      </c>
      <c r="J80" s="34">
        <f>+'Producción Laminados 2016'!J70+'Impo 2016'!J75-'Expo 2016'!J75</f>
        <v>0.30095888000000004</v>
      </c>
      <c r="K80" s="34">
        <f>+'Producción Laminados 2016'!K70+'Impo 2016'!K75-'Expo 2016'!K75</f>
        <v>0.21334548</v>
      </c>
      <c r="L80" s="34">
        <f>+'Producción Laminados 2016'!L70+'Impo 2016'!L75-'Expo 2016'!L75</f>
        <v>0.12803</v>
      </c>
      <c r="M80" s="34">
        <f>+'Producción Laminados 2016'!M70+'Impo 2016'!M75-'Expo 2016'!M75</f>
        <v>0.16638349000000002</v>
      </c>
      <c r="N80" s="34">
        <f>+'Producción Laminados 2016'!N70+'Impo 2016'!N75-'Expo 2016'!N75</f>
        <v>9.116587000000001E-2</v>
      </c>
      <c r="O80" s="34">
        <f>+'Producción Laminados 2016'!O70+'Impo 2016'!O75-'Expo 2016'!O75</f>
        <v>0.48716387000000011</v>
      </c>
      <c r="P80" s="34">
        <f t="shared" si="39"/>
        <v>2.3284942900000005</v>
      </c>
      <c r="R80" s="14"/>
      <c r="S80" s="2"/>
      <c r="T80" s="2"/>
      <c r="U80" s="2"/>
      <c r="W80" s="78"/>
      <c r="X80" s="78"/>
      <c r="Y80" s="79"/>
      <c r="Z80" s="83"/>
    </row>
    <row r="81" spans="2:26" s="3" customFormat="1" ht="18" customHeight="1" thickTop="1" thickBot="1">
      <c r="B81" s="260"/>
      <c r="C81" s="29" t="s">
        <v>139</v>
      </c>
      <c r="D81" s="52">
        <f t="shared" ref="D81:I81" si="43">+D78+D79+D80</f>
        <v>14.364847535200001</v>
      </c>
      <c r="E81" s="52">
        <f t="shared" si="43"/>
        <v>10.88444344507</v>
      </c>
      <c r="F81" s="52">
        <f t="shared" si="43"/>
        <v>18.625594515390002</v>
      </c>
      <c r="G81" s="52">
        <f t="shared" si="43"/>
        <v>14.340574331886666</v>
      </c>
      <c r="H81" s="52">
        <f t="shared" si="43"/>
        <v>18.691580074115556</v>
      </c>
      <c r="I81" s="52">
        <f t="shared" si="43"/>
        <v>19.392575220000001</v>
      </c>
      <c r="J81" s="52">
        <f t="shared" ref="J81:O81" si="44">+J78+J79+J80</f>
        <v>17.351208029999999</v>
      </c>
      <c r="K81" s="52">
        <f t="shared" si="44"/>
        <v>18.502848881371854</v>
      </c>
      <c r="L81" s="52">
        <f t="shared" si="44"/>
        <v>16.610429999999997</v>
      </c>
      <c r="M81" s="52">
        <f t="shared" si="44"/>
        <v>15.94228002</v>
      </c>
      <c r="N81" s="52">
        <f t="shared" si="44"/>
        <v>16.483478000000002</v>
      </c>
      <c r="O81" s="52">
        <f t="shared" si="44"/>
        <v>16.139480030000001</v>
      </c>
      <c r="P81" s="34">
        <f>+P78+P79+P80</f>
        <v>197.32934008303405</v>
      </c>
      <c r="R81" s="46">
        <f t="shared" ref="R81" si="45">+D81+E81+F81+G81+H81+I81+J81+K81+L81+M81+N81+O81</f>
        <v>197.32934008303408</v>
      </c>
      <c r="S81" s="12">
        <f>+P81-'Consumo Aparente 2015'!R81</f>
        <v>42.185569875034076</v>
      </c>
      <c r="T81" s="2"/>
      <c r="U81" s="12"/>
      <c r="Y81" s="79"/>
      <c r="Z81" s="83"/>
    </row>
    <row r="82" spans="2:26" s="3" customFormat="1" ht="18" customHeight="1" thickTop="1" thickBot="1">
      <c r="B82" s="260"/>
      <c r="C82" s="32" t="s">
        <v>81</v>
      </c>
      <c r="D82" s="35">
        <f>+(D81-'Consumo Aparente 2015'!D81)/'Consumo Aparente 2015'!D81</f>
        <v>-0.28690466089585603</v>
      </c>
      <c r="E82" s="35">
        <f>+(E81-'Consumo Aparente 2015'!E81)/'Consumo Aparente 2015'!E81</f>
        <v>-0.133133803428616</v>
      </c>
      <c r="F82" s="35">
        <f>+(F81-'Consumo Aparente 2015'!F81)/'Consumo Aparente 2015'!F81</f>
        <v>-0.22840098969602729</v>
      </c>
      <c r="G82" s="35">
        <f>+(G81-'Consumo Aparente 2015'!G81)/'Consumo Aparente 2015'!G81</f>
        <v>-0.14819539052808745</v>
      </c>
      <c r="H82" s="35">
        <f>+(H81-'Consumo Aparente 2015'!H81)/'Consumo Aparente 2015'!H81</f>
        <v>-0.13789535434301659</v>
      </c>
      <c r="I82" s="35">
        <f>+(I81-'Consumo Aparente 2015'!I81)/'Consumo Aparente 2015'!I81</f>
        <v>-0.12475970457212</v>
      </c>
      <c r="J82" s="35">
        <f>+(J81-'Consumo Aparente 2015'!J81)/'Consumo Aparente 2015'!J81</f>
        <v>-0.18210558799683413</v>
      </c>
      <c r="K82" s="35">
        <f>+(K81-'Consumo Aparente 2015'!K81)/'Consumo Aparente 2015'!K81</f>
        <v>0.12711082672576404</v>
      </c>
      <c r="L82" s="35">
        <f>+(L81-'Consumo Aparente 2015'!L81)/'Consumo Aparente 2015'!L81</f>
        <v>-3.6923355146143741E-2</v>
      </c>
      <c r="M82" s="35">
        <f>+(M81-'Consumo Aparente 2015'!M81)/'Consumo Aparente 2015'!M81</f>
        <v>-0.18401813023238572</v>
      </c>
      <c r="N82" s="35">
        <f>+(N81-'Consumo Aparente 2015'!N81)/'Consumo Aparente 2015'!N81</f>
        <v>-5.0272840276898753E-2</v>
      </c>
      <c r="O82" s="35">
        <f>+(O81-'Consumo Aparente 2015'!O81)/'Consumo Aparente 2015'!O81</f>
        <v>-0.34838642299806144</v>
      </c>
      <c r="P82" s="35">
        <f>+(P81-'Consumo Aparente 2015'!P81)/'Consumo Aparente 2015'!P81</f>
        <v>-0.15690341823289888</v>
      </c>
      <c r="R82" s="14"/>
      <c r="S82" s="2"/>
      <c r="T82" s="2"/>
      <c r="U82" s="2"/>
      <c r="Y82" s="79"/>
      <c r="Z82" s="83"/>
    </row>
    <row r="83" spans="2:26" ht="18" customHeight="1" thickTop="1" thickBot="1">
      <c r="B83" s="260" t="s">
        <v>3</v>
      </c>
      <c r="C83" s="31" t="s">
        <v>65</v>
      </c>
      <c r="D83" s="30">
        <f>+'Producción Laminados 2016'!D73+'Impo 2016'!D78-'Expo 2016'!D78</f>
        <v>26.854103999999996</v>
      </c>
      <c r="E83" s="30">
        <f>+'Producción Laminados 2016'!E73+'Impo 2016'!E78-'Expo 2016'!E78</f>
        <v>35.50288699999998</v>
      </c>
      <c r="F83" s="30">
        <f>+'Producción Laminados 2016'!F73+'Impo 2016'!F78-'Expo 2016'!F78</f>
        <v>15.825779000000002</v>
      </c>
      <c r="G83" s="30">
        <f>+'Producción Laminados 2016'!G73+'Impo 2016'!G78-'Expo 2016'!G78</f>
        <v>16.659368999999998</v>
      </c>
      <c r="H83" s="30">
        <f>+'Producción Laminados 2016'!H73+'Impo 2016'!H78-'Expo 2016'!H78</f>
        <v>15.714664999999998</v>
      </c>
      <c r="I83" s="30">
        <f>+'Producción Laminados 2016'!I73+'Impo 2016'!I78-'Expo 2016'!I78</f>
        <v>32.480849999999997</v>
      </c>
      <c r="J83" s="30">
        <f>+'Producción Laminados 2016'!J73+'Impo 2016'!J78-'Expo 2016'!J78</f>
        <v>32.557585000000003</v>
      </c>
      <c r="K83" s="30">
        <f>+'Producción Laminados 2016'!K73+'Impo 2016'!K78-'Expo 2016'!K78</f>
        <v>40.785429999999991</v>
      </c>
      <c r="L83" s="30">
        <f>+'Producción Laminados 2016'!L73+'Impo 2016'!L78-'Expo 2016'!L78</f>
        <v>42.407335000000003</v>
      </c>
      <c r="M83" s="30">
        <f>+'Producción Laminados 2016'!M73+'Impo 2016'!M78-'Expo 2016'!M78</f>
        <v>24.519057999999998</v>
      </c>
      <c r="N83" s="30">
        <f>+'Producción Laminados 2016'!N73+'Impo 2016'!N78-'Expo 2016'!N78</f>
        <v>26.295606999999997</v>
      </c>
      <c r="O83" s="30">
        <f>+'Producción Laminados 2016'!O73+'Impo 2016'!O78-'Expo 2016'!O78</f>
        <v>15.978827000000001</v>
      </c>
      <c r="P83" s="34">
        <f>+SUM(D83:O83)</f>
        <v>325.58149600000002</v>
      </c>
      <c r="R83" s="14"/>
      <c r="Y83" s="78"/>
    </row>
    <row r="84" spans="2:26" ht="18" customHeight="1" thickTop="1" thickBot="1">
      <c r="B84" s="260"/>
      <c r="C84" s="29" t="s">
        <v>59</v>
      </c>
      <c r="D84" s="30">
        <f>+'Producción Laminados 2016'!D74+'Impo 2016'!D79-'Expo 2016'!D79</f>
        <v>51.689534000000016</v>
      </c>
      <c r="E84" s="30">
        <f>+'Producción Laminados 2016'!E74+'Impo 2016'!E79-'Expo 2016'!E79</f>
        <v>10.463995000000015</v>
      </c>
      <c r="F84" s="30">
        <f>+'Producción Laminados 2016'!F74+'Impo 2016'!F79-'Expo 2016'!F79</f>
        <v>19.480350999999999</v>
      </c>
      <c r="G84" s="30">
        <f>+'Producción Laminados 2016'!G74+'Impo 2016'!G79-'Expo 2016'!G79</f>
        <v>14.694303999999999</v>
      </c>
      <c r="H84" s="30">
        <f>+'Producción Laminados 2016'!H74+'Impo 2016'!H79-'Expo 2016'!H79</f>
        <v>5.6976089999999999</v>
      </c>
      <c r="I84" s="30">
        <f>+'Producción Laminados 2016'!I74+'Impo 2016'!I79-'Expo 2016'!I79</f>
        <v>1.5428539999999997</v>
      </c>
      <c r="J84" s="30">
        <f>+'Producción Laminados 2016'!J74+'Impo 2016'!J79-'Expo 2016'!J79</f>
        <v>5.9215430000000007</v>
      </c>
      <c r="K84" s="30">
        <f>+'Producción Laminados 2016'!K74+'Impo 2016'!K79-'Expo 2016'!K79</f>
        <v>14.708539</v>
      </c>
      <c r="L84" s="30">
        <f>+'Producción Laminados 2016'!L74+'Impo 2016'!L79-'Expo 2016'!L79</f>
        <v>7.7796890000000003</v>
      </c>
      <c r="M84" s="30">
        <f>+'Producción Laminados 2016'!M74+'Impo 2016'!M79-'Expo 2016'!M79</f>
        <v>58.386265999999964</v>
      </c>
      <c r="N84" s="30">
        <f>+'Producción Laminados 2016'!N74+'Impo 2016'!N79-'Expo 2016'!N79</f>
        <v>9.0760550000000126</v>
      </c>
      <c r="O84" s="30">
        <f>+'Producción Laminados 2016'!O74+'Impo 2016'!O79-'Expo 2016'!O79</f>
        <v>62.971279000000017</v>
      </c>
      <c r="P84" s="34">
        <f t="shared" si="39"/>
        <v>262.41201800000005</v>
      </c>
      <c r="R84" s="14"/>
      <c r="W84" s="78"/>
      <c r="X84" s="78"/>
      <c r="Y84" s="78"/>
    </row>
    <row r="85" spans="2:26" ht="18" customHeight="1" thickTop="1" thickBot="1">
      <c r="B85" s="260"/>
      <c r="C85" s="29" t="s">
        <v>60</v>
      </c>
      <c r="D85" s="30">
        <f>+'Producción Laminados 2016'!D75+'Impo 2016'!D80-'Expo 2016'!D80</f>
        <v>11.491508</v>
      </c>
      <c r="E85" s="30">
        <f>+'Producción Laminados 2016'!E75+'Impo 2016'!E80-'Expo 2016'!E80</f>
        <v>11.943275</v>
      </c>
      <c r="F85" s="30">
        <f>+'Producción Laminados 2016'!F75+'Impo 2016'!F80-'Expo 2016'!F80</f>
        <v>6.4757480000000003</v>
      </c>
      <c r="G85" s="30">
        <f>+'Producción Laminados 2016'!G75+'Impo 2016'!G80-'Expo 2016'!G80</f>
        <v>15.810575</v>
      </c>
      <c r="H85" s="30">
        <f>+'Producción Laminados 2016'!H75+'Impo 2016'!H80-'Expo 2016'!H80</f>
        <v>7.1263560000000004</v>
      </c>
      <c r="I85" s="30">
        <f>+'Producción Laminados 2016'!I75+'Impo 2016'!I80-'Expo 2016'!I80</f>
        <v>14.353495000000001</v>
      </c>
      <c r="J85" s="30">
        <f>+'Producción Laminados 2016'!J75+'Impo 2016'!J80-'Expo 2016'!J80</f>
        <v>10.460867</v>
      </c>
      <c r="K85" s="30">
        <f>+'Producción Laminados 2016'!K75+'Impo 2016'!K80-'Expo 2016'!K80</f>
        <v>1.1269279999999999</v>
      </c>
      <c r="L85" s="30">
        <f>+'Producción Laminados 2016'!L75+'Impo 2016'!L80-'Expo 2016'!L80</f>
        <v>3.0058699999999998</v>
      </c>
      <c r="M85" s="30">
        <f>+'Producción Laminados 2016'!M75+'Impo 2016'!M80-'Expo 2016'!M80</f>
        <v>3.7257729999999998</v>
      </c>
      <c r="N85" s="30">
        <f>+'Producción Laminados 2016'!N75+'Impo 2016'!N80-'Expo 2016'!N80</f>
        <v>1.889232</v>
      </c>
      <c r="O85" s="30">
        <f>+'Producción Laminados 2016'!O75+'Impo 2016'!O80-'Expo 2016'!O80</f>
        <v>2.4511449999999999</v>
      </c>
      <c r="P85" s="34">
        <f t="shared" si="39"/>
        <v>89.860772000000011</v>
      </c>
      <c r="R85" s="14"/>
      <c r="W85" s="78"/>
      <c r="X85" s="78"/>
      <c r="Y85" s="78"/>
    </row>
    <row r="86" spans="2:26" ht="18" customHeight="1" thickTop="1" thickBot="1">
      <c r="B86" s="260"/>
      <c r="C86" s="29" t="s">
        <v>139</v>
      </c>
      <c r="D86" s="53">
        <f t="shared" ref="D86:I86" si="46">+D83+D84+D85</f>
        <v>90.035146000000012</v>
      </c>
      <c r="E86" s="53">
        <f t="shared" si="46"/>
        <v>57.910156999999998</v>
      </c>
      <c r="F86" s="53">
        <f t="shared" si="46"/>
        <v>41.781878000000006</v>
      </c>
      <c r="G86" s="53">
        <f t="shared" si="46"/>
        <v>47.164248000000001</v>
      </c>
      <c r="H86" s="53">
        <f t="shared" si="46"/>
        <v>28.538629999999998</v>
      </c>
      <c r="I86" s="53">
        <f t="shared" si="46"/>
        <v>48.377198999999997</v>
      </c>
      <c r="J86" s="53">
        <f t="shared" ref="J86:O86" si="47">+J83+J84+J85</f>
        <v>48.939995000000003</v>
      </c>
      <c r="K86" s="53">
        <f t="shared" si="47"/>
        <v>56.620896999999992</v>
      </c>
      <c r="L86" s="53">
        <f t="shared" si="47"/>
        <v>53.192894000000003</v>
      </c>
      <c r="M86" s="53">
        <f t="shared" si="47"/>
        <v>86.631096999999968</v>
      </c>
      <c r="N86" s="53">
        <f t="shared" si="47"/>
        <v>37.260894000000008</v>
      </c>
      <c r="O86" s="53">
        <f t="shared" si="47"/>
        <v>81.401251000000016</v>
      </c>
      <c r="P86" s="34">
        <f>+P83+P84+P85</f>
        <v>677.854286</v>
      </c>
      <c r="R86" s="46">
        <f t="shared" ref="R86:R90" si="48">+D86+E86+F86+G86+H86+I86+J86+K86+L86+M86+N86+O86</f>
        <v>677.85428600000012</v>
      </c>
      <c r="S86" s="12">
        <f>+P86-'Consumo Aparente 2015'!R86</f>
        <v>-883.76621077000027</v>
      </c>
      <c r="U86" s="12"/>
      <c r="Y86" s="78"/>
    </row>
    <row r="87" spans="2:26" ht="18" customHeight="1" thickTop="1" thickBot="1">
      <c r="B87" s="260"/>
      <c r="C87" s="32" t="s">
        <v>81</v>
      </c>
      <c r="D87" s="37">
        <f>+(D86-'Consumo Aparente 2015'!D86)/'Consumo Aparente 2015'!D86</f>
        <v>-0.83435621556110817</v>
      </c>
      <c r="E87" s="37">
        <f>+(E86-'Consumo Aparente 2015'!E86)/'Consumo Aparente 2015'!E86</f>
        <v>-0.66437638384896314</v>
      </c>
      <c r="F87" s="37">
        <f>+(F86-'Consumo Aparente 2015'!F86)/'Consumo Aparente 2015'!F86</f>
        <v>-0.82888050169773719</v>
      </c>
      <c r="G87" s="37">
        <f>+(G86-'Consumo Aparente 2015'!G86)/'Consumo Aparente 2015'!G86</f>
        <v>-0.68567343088419463</v>
      </c>
      <c r="H87" s="37">
        <f>+(H86-'Consumo Aparente 2015'!H86)/'Consumo Aparente 2015'!H86</f>
        <v>-0.71701038318290522</v>
      </c>
      <c r="I87" s="37">
        <f>+(I86-'Consumo Aparente 2015'!I86)/'Consumo Aparente 2015'!I86</f>
        <v>-0.64038957456936285</v>
      </c>
      <c r="J87" s="37">
        <f>+(J86-'Consumo Aparente 2015'!J86)/'Consumo Aparente 2015'!J86</f>
        <v>-0.51237633054049003</v>
      </c>
      <c r="K87" s="37">
        <f>+(K86-'Consumo Aparente 2015'!K86)/'Consumo Aparente 2015'!K86</f>
        <v>-0.51009180135708765</v>
      </c>
      <c r="L87" s="37">
        <f>+(L86-'Consumo Aparente 2015'!L86)/'Consumo Aparente 2015'!L86</f>
        <v>-0.60861853873752325</v>
      </c>
      <c r="M87" s="37">
        <f>+(M86-'Consumo Aparente 2015'!M86)/'Consumo Aparente 2015'!M86</f>
        <v>-0.41069920502800933</v>
      </c>
      <c r="N87" s="37">
        <f>+(N86-'Consumo Aparente 2015'!N86)/'Consumo Aparente 2015'!N86</f>
        <v>-0.76150048030816964</v>
      </c>
      <c r="O87" s="37">
        <f>+(O86-'Consumo Aparente 2015'!O86)/'Consumo Aparente 2015'!O86</f>
        <v>-0.43621295604274996</v>
      </c>
      <c r="P87" s="37">
        <f>+(P86-'Consumo Aparente 2015'!P86)/'Consumo Aparente 2015'!P86</f>
        <v>-0.68400628228552518</v>
      </c>
      <c r="R87" s="14"/>
      <c r="Y87" s="78"/>
    </row>
    <row r="88" spans="2:26" s="3" customFormat="1" ht="18" customHeight="1" thickTop="1" thickBot="1">
      <c r="B88" s="261" t="s">
        <v>61</v>
      </c>
      <c r="C88" s="31" t="s">
        <v>65</v>
      </c>
      <c r="D88" s="34">
        <f t="shared" ref="D88:I91" si="49">+D3+D13+D18+D23+D28+D63+D33+D38+D43+D53+D58+D68+D73+D78+D83+D8+D48</f>
        <v>2334.4511742996597</v>
      </c>
      <c r="E88" s="34">
        <f t="shared" si="49"/>
        <v>2349.63730120834</v>
      </c>
      <c r="F88" s="34">
        <f t="shared" si="49"/>
        <v>2373.19353941079</v>
      </c>
      <c r="G88" s="34">
        <f t="shared" si="49"/>
        <v>2341.8160931835964</v>
      </c>
      <c r="H88" s="34">
        <f t="shared" si="49"/>
        <v>2415.6727205897978</v>
      </c>
      <c r="I88" s="34">
        <f t="shared" si="49"/>
        <v>2404.9496371238006</v>
      </c>
      <c r="J88" s="34">
        <f t="shared" ref="J88:O88" si="50">+J3+J13+J18+J23+J28+J63+J33+J38+J43+J53+J58+J68+J73+J78+J83+J8+J48</f>
        <v>2401.6952509755279</v>
      </c>
      <c r="K88" s="34">
        <f t="shared" si="50"/>
        <v>2416.8249267703141</v>
      </c>
      <c r="L88" s="34">
        <f t="shared" si="50"/>
        <v>2295.5948796714147</v>
      </c>
      <c r="M88" s="34">
        <f t="shared" si="50"/>
        <v>2449.3506340164831</v>
      </c>
      <c r="N88" s="34">
        <f t="shared" si="50"/>
        <v>2246.457296076569</v>
      </c>
      <c r="O88" s="34">
        <f t="shared" si="50"/>
        <v>1813.8262975126768</v>
      </c>
      <c r="P88" s="34">
        <f>+SUM(D88:O88)</f>
        <v>27843.469750838969</v>
      </c>
      <c r="Q88" s="5"/>
      <c r="R88" s="46">
        <f t="shared" si="48"/>
        <v>27843.469750838969</v>
      </c>
      <c r="S88" s="2"/>
      <c r="T88" s="44">
        <f>(G88-'Consumo Aparente 2015'!G88)/'Consumo Aparente 2015'!G88</f>
        <v>-0.12084386659753636</v>
      </c>
      <c r="U88" s="14">
        <f>(P88-'Consumo Aparente 2015'!S88)/'Consumo Aparente 2015'!S88</f>
        <v>0.80578873859167088</v>
      </c>
      <c r="W88" s="78"/>
      <c r="X88" s="78"/>
      <c r="Y88" s="79"/>
      <c r="Z88" s="83"/>
    </row>
    <row r="89" spans="2:26" s="3" customFormat="1" ht="18" customHeight="1" thickTop="1" thickBot="1">
      <c r="B89" s="261"/>
      <c r="C89" s="29" t="s">
        <v>59</v>
      </c>
      <c r="D89" s="34">
        <f t="shared" si="49"/>
        <v>2863.6748532900006</v>
      </c>
      <c r="E89" s="34">
        <f t="shared" si="49"/>
        <v>2518.6321660379999</v>
      </c>
      <c r="F89" s="34">
        <f t="shared" si="49"/>
        <v>2827.3243154299998</v>
      </c>
      <c r="G89" s="34">
        <f t="shared" si="49"/>
        <v>2781.6365714940007</v>
      </c>
      <c r="H89" s="34">
        <f t="shared" si="49"/>
        <v>2805.5304373429994</v>
      </c>
      <c r="I89" s="34">
        <f t="shared" si="49"/>
        <v>2709.0645030900005</v>
      </c>
      <c r="J89" s="34">
        <f t="shared" ref="J89:O89" si="51">+J4+J14+J19+J24+J29+J64+J34+J39+J44+J54+J59+J69+J74+J79+J84+J9+J49</f>
        <v>2809.6365172180008</v>
      </c>
      <c r="K89" s="34">
        <f t="shared" si="51"/>
        <v>2958.5244718919998</v>
      </c>
      <c r="L89" s="34">
        <f t="shared" si="51"/>
        <v>2904.2502836389999</v>
      </c>
      <c r="M89" s="34">
        <f t="shared" si="51"/>
        <v>3278.5112029360002</v>
      </c>
      <c r="N89" s="34">
        <f t="shared" si="51"/>
        <v>3232.6542428776665</v>
      </c>
      <c r="O89" s="34">
        <f t="shared" si="51"/>
        <v>2934.975215678689</v>
      </c>
      <c r="P89" s="34">
        <f t="shared" si="39"/>
        <v>34624.414780926352</v>
      </c>
      <c r="Q89" s="5"/>
      <c r="R89" s="46">
        <f t="shared" si="48"/>
        <v>34624.414780926352</v>
      </c>
      <c r="S89" s="2"/>
      <c r="T89" s="44">
        <f>(G89-'Consumo Aparente 2015'!G89)/'Consumo Aparente 2015'!G89</f>
        <v>-0.18835536079878212</v>
      </c>
      <c r="U89" s="14">
        <f>(P89-'Consumo Aparente 2015'!S89)/'Consumo Aparente 2015'!S89</f>
        <v>0.74428660813524194</v>
      </c>
      <c r="W89" s="78"/>
      <c r="X89" s="78"/>
      <c r="Y89" s="79"/>
      <c r="Z89" s="83"/>
    </row>
    <row r="90" spans="2:26" s="3" customFormat="1" ht="18" customHeight="1" thickTop="1" thickBot="1">
      <c r="B90" s="261"/>
      <c r="C90" s="29" t="s">
        <v>60</v>
      </c>
      <c r="D90" s="34">
        <f t="shared" si="49"/>
        <v>67.386147461000007</v>
      </c>
      <c r="E90" s="34">
        <f t="shared" si="49"/>
        <v>58.376468543000009</v>
      </c>
      <c r="F90" s="34">
        <f t="shared" si="49"/>
        <v>66.952030628999978</v>
      </c>
      <c r="G90" s="34">
        <f t="shared" si="49"/>
        <v>74.584692926000017</v>
      </c>
      <c r="H90" s="34">
        <f t="shared" si="49"/>
        <v>64.073408417999985</v>
      </c>
      <c r="I90" s="34">
        <f t="shared" si="49"/>
        <v>44.867125896000005</v>
      </c>
      <c r="J90" s="34">
        <f t="shared" ref="J90:O90" si="52">+J5+J15+J20+J25+J30+J65+J35+J40+J45+J55+J60+J70+J75+J80+J85+J10+J50</f>
        <v>70.273624438000013</v>
      </c>
      <c r="K90" s="34">
        <f t="shared" si="52"/>
        <v>44.881680612000011</v>
      </c>
      <c r="L90" s="34">
        <f t="shared" si="52"/>
        <v>61.085245529000005</v>
      </c>
      <c r="M90" s="34">
        <f t="shared" si="52"/>
        <v>69.927577727000013</v>
      </c>
      <c r="N90" s="34">
        <f t="shared" si="52"/>
        <v>53.588366636333312</v>
      </c>
      <c r="O90" s="34">
        <f t="shared" si="52"/>
        <v>77.701463849444451</v>
      </c>
      <c r="P90" s="34">
        <f t="shared" si="39"/>
        <v>753.69783266477771</v>
      </c>
      <c r="Q90" s="5"/>
      <c r="R90" s="46">
        <f t="shared" si="48"/>
        <v>753.69783266477771</v>
      </c>
      <c r="S90" s="2"/>
      <c r="T90" s="44">
        <f>(G90-'Consumo Aparente 2015'!G90)/'Consumo Aparente 2015'!G90</f>
        <v>-0.20393847318963521</v>
      </c>
      <c r="U90" s="14">
        <f>(P90-'Consumo Aparente 2015'!S90)/'Consumo Aparente 2015'!S90</f>
        <v>-8.1451115217437489E-2</v>
      </c>
      <c r="W90" s="78"/>
      <c r="X90" s="78"/>
      <c r="Y90" s="79"/>
      <c r="Z90" s="83"/>
    </row>
    <row r="91" spans="2:26" s="3" customFormat="1" ht="18" customHeight="1" thickTop="1" thickBot="1">
      <c r="B91" s="261"/>
      <c r="C91" s="29" t="s">
        <v>139</v>
      </c>
      <c r="D91" s="34">
        <f t="shared" si="49"/>
        <v>5250.6671750506612</v>
      </c>
      <c r="E91" s="34">
        <f t="shared" si="49"/>
        <v>4929.93593578934</v>
      </c>
      <c r="F91" s="34">
        <f t="shared" si="49"/>
        <v>5531.9958854697898</v>
      </c>
      <c r="G91" s="34">
        <f t="shared" si="49"/>
        <v>5363.5333576035946</v>
      </c>
      <c r="H91" s="34">
        <f t="shared" si="49"/>
        <v>5263.7245663507993</v>
      </c>
      <c r="I91" s="34">
        <f t="shared" si="49"/>
        <v>5344.3222661097989</v>
      </c>
      <c r="J91" s="34">
        <f t="shared" ref="J91:O91" si="53">+J6+J16+J21+J26+J31+J66+J36+J41+J46+J56+J61+J71+J76+J81+J86+J11+J51</f>
        <v>5156.2183926315274</v>
      </c>
      <c r="K91" s="34">
        <f t="shared" si="53"/>
        <v>5419.6570792743141</v>
      </c>
      <c r="L91" s="34">
        <f t="shared" si="53"/>
        <v>5454.8934088394135</v>
      </c>
      <c r="M91" s="34">
        <f t="shared" si="53"/>
        <v>5553.801414679484</v>
      </c>
      <c r="N91" s="34">
        <f t="shared" si="53"/>
        <v>5516.3639055905687</v>
      </c>
      <c r="O91" s="34">
        <f t="shared" si="53"/>
        <v>5052.50297704081</v>
      </c>
      <c r="P91" s="34">
        <f>+(P6+P16+P21+P26+P31+P66+P36+P41+P46+P56+P61+P71+P76+P81+P86+P11+P51)*0+64839</f>
        <v>64839</v>
      </c>
      <c r="Q91" s="5"/>
      <c r="R91" s="46">
        <f>+(D91+E91+F91+G91+H91+I91+J91+K91+L91+M91+N91+O91)*0+64839</f>
        <v>64839</v>
      </c>
      <c r="S91" s="12">
        <f>+P91-'Consumo Aparente 2015'!R91</f>
        <v>17230.408834346999</v>
      </c>
      <c r="T91" s="44">
        <f>(G91-'Consumo Aparente 2015'!G91)/'Consumo Aparente 2015'!G91</f>
        <v>-9.5911412143156766E-2</v>
      </c>
      <c r="U91" s="14">
        <f>(P91-'Consumo Aparente 2015'!S91)/'Consumo Aparente 2015'!S91</f>
        <v>0.80037463716059798</v>
      </c>
      <c r="Y91" s="79"/>
      <c r="Z91" s="83"/>
    </row>
    <row r="92" spans="2:26" ht="18" customHeight="1" thickTop="1" thickBot="1">
      <c r="B92" s="261"/>
      <c r="C92" s="32" t="s">
        <v>81</v>
      </c>
      <c r="D92" s="35">
        <f>+(D91-'Consumo Aparente 2015'!D91)/'Consumo Aparente 2015'!D91</f>
        <v>-0.17163010360099085</v>
      </c>
      <c r="E92" s="35">
        <f>+(E91-'Consumo Aparente 2015'!E91)/'Consumo Aparente 2015'!E91</f>
        <v>-0.15166727896231677</v>
      </c>
      <c r="F92" s="35">
        <f>+(F91-'Consumo Aparente 2015'!F91)/'Consumo Aparente 2015'!F91</f>
        <v>-0.13867181124024303</v>
      </c>
      <c r="G92" s="35">
        <f>+(G91-'Consumo Aparente 2015'!G91)/'Consumo Aparente 2015'!G91</f>
        <v>-9.5911412143156766E-2</v>
      </c>
      <c r="H92" s="35">
        <f>+(H91-'Consumo Aparente 2015'!H91)/'Consumo Aparente 2015'!H91</f>
        <v>-8.9164512861212325E-2</v>
      </c>
      <c r="I92" s="35">
        <f>+(I91-'Consumo Aparente 2015'!I91)/'Consumo Aparente 2015'!I91</f>
        <v>-6.732831664937855E-2</v>
      </c>
      <c r="J92" s="35">
        <f>+(J91-'Consumo Aparente 2015'!J91)/'Consumo Aparente 2015'!J91</f>
        <v>-0.11190263128809252</v>
      </c>
      <c r="K92" s="35">
        <f>+(K91-'Consumo Aparente 2015'!K91)/'Consumo Aparente 2015'!K91</f>
        <v>-6.3720686376582056E-2</v>
      </c>
      <c r="L92" s="35">
        <f>+(L91-'Consumo Aparente 2015'!L91)/'Consumo Aparente 2015'!L91</f>
        <v>-7.5018600705796051E-2</v>
      </c>
      <c r="M92" s="35">
        <f>+(M91-'Consumo Aparente 2015'!M91)/'Consumo Aparente 2015'!M91</f>
        <v>-4.0539480267191813E-2</v>
      </c>
      <c r="N92" s="35">
        <f>+(N91-'Consumo Aparente 2015'!N91)/'Consumo Aparente 2015'!N91</f>
        <v>4.2462146482907873E-2</v>
      </c>
      <c r="O92" s="35">
        <f>+(O91-'Consumo Aparente 2015'!O91)/'Consumo Aparente 2015'!O91</f>
        <v>1.7153803178554892E-2</v>
      </c>
      <c r="P92" s="35">
        <f>+(P91-'Consumo Aparente 2015'!P91)/'Consumo Aparente 2015'!P91</f>
        <v>-6.7779912418043611E-2</v>
      </c>
      <c r="Q92" s="6"/>
      <c r="R92" s="46"/>
      <c r="W92" s="78"/>
      <c r="X92" s="78"/>
      <c r="Y92" s="78"/>
    </row>
    <row r="93" spans="2:26" ht="13.5" thickTop="1">
      <c r="B93" s="28"/>
      <c r="W93" s="78"/>
      <c r="X93" s="78"/>
    </row>
    <row r="94" spans="2:26">
      <c r="B94" s="25" t="s">
        <v>19</v>
      </c>
      <c r="C94" s="25" t="s">
        <v>19</v>
      </c>
      <c r="W94" s="78"/>
      <c r="X94" s="78"/>
    </row>
    <row r="95" spans="2:26">
      <c r="B95" s="26" t="s">
        <v>12</v>
      </c>
      <c r="C95" s="26" t="s">
        <v>12</v>
      </c>
      <c r="W95" s="78"/>
      <c r="X95" s="78"/>
    </row>
    <row r="96" spans="2:26">
      <c r="B96" s="2" t="s">
        <v>18</v>
      </c>
    </row>
    <row r="97" spans="2:16">
      <c r="B97" s="36" t="s">
        <v>92</v>
      </c>
    </row>
    <row r="101" spans="2:16">
      <c r="D101" s="14">
        <f>+P88/$P$91</f>
        <v>0.42942472510123492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>
      <c r="D102" s="14">
        <f>+P89/$P$91</f>
        <v>0.53400599609689159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6">
      <c r="D103" s="14">
        <f>+P90/$P$91</f>
        <v>1.1624143380755066E-2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</sheetData>
  <sortState xmlns:xlrd2="http://schemas.microsoft.com/office/spreadsheetml/2017/richdata2" ref="V3:Y19">
    <sortCondition descending="1" ref="Y3:Y19"/>
  </sortState>
  <mergeCells count="18">
    <mergeCell ref="B58:B62"/>
    <mergeCell ref="B63:B67"/>
    <mergeCell ref="B3:B7"/>
    <mergeCell ref="B8:B12"/>
    <mergeCell ref="B13:B17"/>
    <mergeCell ref="B18:B22"/>
    <mergeCell ref="B23:B27"/>
    <mergeCell ref="B28:B32"/>
    <mergeCell ref="B48:B52"/>
    <mergeCell ref="B33:B37"/>
    <mergeCell ref="B38:B42"/>
    <mergeCell ref="B43:B47"/>
    <mergeCell ref="B53:B57"/>
    <mergeCell ref="B68:B72"/>
    <mergeCell ref="B73:B77"/>
    <mergeCell ref="B78:B82"/>
    <mergeCell ref="B83:B87"/>
    <mergeCell ref="B88:B92"/>
  </mergeCells>
  <hyperlinks>
    <hyperlink ref="P1" location="Índice!A1" display="Índice" xr:uid="{00000000-0004-0000-2100-000000000000}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U97"/>
  <sheetViews>
    <sheetView zoomScale="70" zoomScaleNormal="70" workbookViewId="0">
      <pane xSplit="3" ySplit="2" topLeftCell="D68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18" s="8" customFormat="1" ht="38.25" customHeight="1" thickBot="1">
      <c r="B1" s="22" t="s">
        <v>76</v>
      </c>
      <c r="O1" s="9"/>
      <c r="P1" s="87" t="s">
        <v>111</v>
      </c>
    </row>
    <row r="2" spans="2:18" ht="30" customHeight="1" thickTop="1">
      <c r="B2" s="33" t="s">
        <v>36</v>
      </c>
      <c r="C2" s="21" t="s">
        <v>23</v>
      </c>
      <c r="D2" s="51" t="s">
        <v>27</v>
      </c>
      <c r="E2" s="51" t="s">
        <v>28</v>
      </c>
      <c r="F2" s="51" t="s">
        <v>26</v>
      </c>
      <c r="G2" s="51" t="s">
        <v>22</v>
      </c>
      <c r="H2" s="51" t="s">
        <v>29</v>
      </c>
      <c r="I2" s="51" t="s">
        <v>30</v>
      </c>
      <c r="J2" s="51" t="s">
        <v>31</v>
      </c>
      <c r="K2" s="51" t="s">
        <v>32</v>
      </c>
      <c r="L2" s="51" t="s">
        <v>33</v>
      </c>
      <c r="M2" s="51" t="s">
        <v>24</v>
      </c>
      <c r="N2" s="51" t="s">
        <v>34</v>
      </c>
      <c r="O2" s="51" t="s">
        <v>35</v>
      </c>
      <c r="P2" s="51" t="s">
        <v>25</v>
      </c>
      <c r="R2" s="36" t="s">
        <v>173</v>
      </c>
    </row>
    <row r="3" spans="2:18" ht="18" customHeight="1" thickBot="1">
      <c r="B3" s="259" t="s">
        <v>0</v>
      </c>
      <c r="C3" s="29" t="s">
        <v>65</v>
      </c>
      <c r="D3" s="34">
        <f>+'Producción Laminados 2015'!D3+'Impo 2015'!D3-'Expo 2015'!D3</f>
        <v>133.32071346000001</v>
      </c>
      <c r="E3" s="34">
        <f>+'Producción Laminados 2015'!E3+'Impo 2015'!E3-'Expo 2015'!E3</f>
        <v>120.05120936</v>
      </c>
      <c r="F3" s="34">
        <f>+'Producción Laminados 2015'!F3+'Impo 2015'!F3-'Expo 2015'!F3</f>
        <v>192.29918717999999</v>
      </c>
      <c r="G3" s="34">
        <f>+'Producción Laminados 2015'!G3+'Impo 2015'!G3-'Expo 2015'!G3</f>
        <v>154.05127594000001</v>
      </c>
      <c r="H3" s="34">
        <f>+'Producción Laminados 2015'!H3+'Impo 2015'!H3-'Expo 2015'!H3</f>
        <v>168.44466709</v>
      </c>
      <c r="I3" s="34">
        <f>+'Producción Laminados 2015'!I3+'Impo 2015'!I3-'Expo 2015'!I3</f>
        <v>150.68130531</v>
      </c>
      <c r="J3" s="34">
        <f>+'Producción Laminados 2015'!J3+'Impo 2015'!J3-'Expo 2015'!J3</f>
        <v>198.55832684000001</v>
      </c>
      <c r="K3" s="34">
        <f>+'Producción Laminados 2015'!K3+'Impo 2015'!K3-'Expo 2015'!K3</f>
        <v>183.05159686000002</v>
      </c>
      <c r="L3" s="34">
        <f>+'Producción Laminados 2015'!L3+'Impo 2015'!L3-'Expo 2015'!L3</f>
        <v>175.89637143999997</v>
      </c>
      <c r="M3" s="34">
        <f>+'Producción Laminados 2015'!M3+'Impo 2015'!M3-'Expo 2015'!M3</f>
        <v>161.10209073999999</v>
      </c>
      <c r="N3" s="34">
        <f>+'Producción Laminados 2015'!N3+'Impo 2015'!N3-'Expo 2015'!N3</f>
        <v>173.33050080000001</v>
      </c>
      <c r="O3" s="34">
        <f>+'Producción Laminados 2015'!O3+'Impo 2015'!O3-'Expo 2015'!O3</f>
        <v>147.33250079999999</v>
      </c>
      <c r="P3" s="34">
        <f>SUM(D3:O3)</f>
        <v>1958.1197458199999</v>
      </c>
      <c r="R3" s="14"/>
    </row>
    <row r="4" spans="2:18" ht="18" customHeight="1" thickTop="1" thickBot="1">
      <c r="B4" s="260"/>
      <c r="C4" s="29" t="s">
        <v>59</v>
      </c>
      <c r="D4" s="34">
        <f>+'Producción Laminados 2015'!D4+'Impo 2015'!D4-'Expo 2015'!D4</f>
        <v>232.84889027999998</v>
      </c>
      <c r="E4" s="34">
        <f>+'Producción Laminados 2015'!E4+'Impo 2015'!E4-'Expo 2015'!E4</f>
        <v>217.29108338</v>
      </c>
      <c r="F4" s="34">
        <f>+'Producción Laminados 2015'!F4+'Impo 2015'!F4-'Expo 2015'!F4</f>
        <v>236.11880611999999</v>
      </c>
      <c r="G4" s="34">
        <f>+'Producción Laminados 2015'!G4+'Impo 2015'!G4-'Expo 2015'!G4</f>
        <v>281.62025417999996</v>
      </c>
      <c r="H4" s="34">
        <f>+'Producción Laminados 2015'!H4+'Impo 2015'!H4-'Expo 2015'!H4</f>
        <v>233.42971606000003</v>
      </c>
      <c r="I4" s="34">
        <f>+'Producción Laminados 2015'!I4+'Impo 2015'!I4-'Expo 2015'!I4</f>
        <v>283.49358601999995</v>
      </c>
      <c r="J4" s="34">
        <f>+'Producción Laminados 2015'!J4+'Impo 2015'!J4-'Expo 2015'!J4</f>
        <v>324.09871042999998</v>
      </c>
      <c r="K4" s="34">
        <f>+'Producción Laminados 2015'!K4+'Impo 2015'!K4-'Expo 2015'!K4</f>
        <v>269.30628443000001</v>
      </c>
      <c r="L4" s="34">
        <f>+'Producción Laminados 2015'!L4+'Impo 2015'!L4-'Expo 2015'!L4</f>
        <v>198.05757265999998</v>
      </c>
      <c r="M4" s="34">
        <f>+'Producción Laminados 2015'!M4+'Impo 2015'!M4-'Expo 2015'!M4</f>
        <v>265.55146559999997</v>
      </c>
      <c r="N4" s="34">
        <f>+'Producción Laminados 2015'!N4+'Impo 2015'!N4-'Expo 2015'!N4</f>
        <v>259.36356249000005</v>
      </c>
      <c r="O4" s="34">
        <f>+'Producción Laminados 2015'!O4+'Impo 2015'!O4-'Expo 2015'!O4</f>
        <v>241.28603036999999</v>
      </c>
      <c r="P4" s="34">
        <f>SUM(D4:O4)</f>
        <v>3042.46596202</v>
      </c>
      <c r="R4" s="14"/>
    </row>
    <row r="5" spans="2:18" ht="18" customHeight="1" thickTop="1" thickBot="1">
      <c r="B5" s="260"/>
      <c r="C5" s="29" t="s">
        <v>60</v>
      </c>
      <c r="D5" s="34">
        <f>+'Producción Laminados 2015'!D5+'Impo 2015'!D5-'Expo 2015'!D5</f>
        <v>5.7702253499999969</v>
      </c>
      <c r="E5" s="34">
        <f>+'Producción Laminados 2015'!E5+'Impo 2015'!E5-'Expo 2015'!E5</f>
        <v>21.648408719999999</v>
      </c>
      <c r="F5" s="34">
        <f>+'Producción Laminados 2015'!F5+'Impo 2015'!F5-'Expo 2015'!F5</f>
        <v>19.019471939999999</v>
      </c>
      <c r="G5" s="34">
        <f>+'Producción Laminados 2015'!G5+'Impo 2015'!G5-'Expo 2015'!G5</f>
        <v>19.477198229999999</v>
      </c>
      <c r="H5" s="34">
        <f>+'Producción Laminados 2015'!H5+'Impo 2015'!H5-'Expo 2015'!H5</f>
        <v>6.0446921300000014</v>
      </c>
      <c r="I5" s="34">
        <f>+'Producción Laminados 2015'!I5+'Impo 2015'!I5-'Expo 2015'!I5</f>
        <v>24.520456500000002</v>
      </c>
      <c r="J5" s="34">
        <f>+'Producción Laminados 2015'!J5+'Impo 2015'!J5-'Expo 2015'!J5</f>
        <v>25.747743929999999</v>
      </c>
      <c r="K5" s="34">
        <f>+'Producción Laminados 2015'!K5+'Impo 2015'!K5-'Expo 2015'!K5</f>
        <v>24.697930249999999</v>
      </c>
      <c r="L5" s="34">
        <f>+'Producción Laminados 2015'!L5+'Impo 2015'!L5-'Expo 2015'!L5</f>
        <v>34.869975299999993</v>
      </c>
      <c r="M5" s="34">
        <f>+'Producción Laminados 2015'!M5+'Impo 2015'!M5-'Expo 2015'!M5</f>
        <v>13.206164649999995</v>
      </c>
      <c r="N5" s="34">
        <f>+'Producción Laminados 2015'!N5+'Impo 2015'!N5-'Expo 2015'!N5</f>
        <v>24.760999999999999</v>
      </c>
      <c r="O5" s="34">
        <f>+'Producción Laminados 2015'!O5+'Impo 2015'!O5-'Expo 2015'!O5</f>
        <v>10.776999999999997</v>
      </c>
      <c r="P5" s="34">
        <f>SUM(D5:O5)</f>
        <v>230.54026699999997</v>
      </c>
      <c r="R5" s="14"/>
    </row>
    <row r="6" spans="2:18" ht="18" customHeight="1" thickTop="1" thickBot="1">
      <c r="B6" s="260"/>
      <c r="C6" s="29" t="s">
        <v>139</v>
      </c>
      <c r="D6" s="34">
        <f>+D3+D4+D5</f>
        <v>371.93982908999993</v>
      </c>
      <c r="E6" s="34">
        <f t="shared" ref="E6:P6" si="0">+E3+E4+E5</f>
        <v>358.99070146000003</v>
      </c>
      <c r="F6" s="52">
        <f t="shared" si="0"/>
        <v>447.43746523999999</v>
      </c>
      <c r="G6" s="52">
        <f t="shared" si="0"/>
        <v>455.14872834999994</v>
      </c>
      <c r="H6" s="52">
        <f t="shared" si="0"/>
        <v>407.91907528000002</v>
      </c>
      <c r="I6" s="52">
        <f t="shared" si="0"/>
        <v>458.69534782999995</v>
      </c>
      <c r="J6" s="52">
        <f t="shared" si="0"/>
        <v>548.4047812</v>
      </c>
      <c r="K6" s="52">
        <f t="shared" si="0"/>
        <v>477.05581154000004</v>
      </c>
      <c r="L6" s="52">
        <f t="shared" si="0"/>
        <v>408.82391939999991</v>
      </c>
      <c r="M6" s="52">
        <f t="shared" si="0"/>
        <v>439.85972098999997</v>
      </c>
      <c r="N6" s="52">
        <f t="shared" si="0"/>
        <v>457.45506329000006</v>
      </c>
      <c r="O6" s="52">
        <f t="shared" si="0"/>
        <v>399.39553116999997</v>
      </c>
      <c r="P6" s="34">
        <f t="shared" si="0"/>
        <v>5231.1259748400007</v>
      </c>
      <c r="R6" s="46">
        <f>+D6+E6+F6+G6+H6+I6+J6+K6</f>
        <v>3525.59173999</v>
      </c>
    </row>
    <row r="7" spans="2:18" ht="18" customHeight="1" thickTop="1" thickBot="1">
      <c r="B7" s="260"/>
      <c r="C7" s="32" t="s">
        <v>67</v>
      </c>
      <c r="D7" s="35">
        <f>+(D6-'Consumo Aparente 2014'!D6)/'Consumo Aparente 2014'!D6</f>
        <v>-9.9329277963737639E-2</v>
      </c>
      <c r="E7" s="35">
        <f>+(E6-'Consumo Aparente 2014'!E6)/'Consumo Aparente 2014'!E6</f>
        <v>-7.7910293625626958E-2</v>
      </c>
      <c r="F7" s="35">
        <f>+(F6-'Consumo Aparente 2014'!F6)/'Consumo Aparente 2014'!F6</f>
        <v>-4.3404309738034837E-2</v>
      </c>
      <c r="G7" s="35">
        <f>+(G6-'Consumo Aparente 2014'!G6)/'Consumo Aparente 2014'!G6</f>
        <v>-1.5176765528010705E-2</v>
      </c>
      <c r="H7" s="35">
        <f>+(H6-'Consumo Aparente 2014'!H6)/'Consumo Aparente 2014'!H6</f>
        <v>-4.1984247318784119E-2</v>
      </c>
      <c r="I7" s="35">
        <f>+(I6-'Consumo Aparente 2014'!I6)/'Consumo Aparente 2014'!I6</f>
        <v>5.9193609293060209E-2</v>
      </c>
      <c r="J7" s="35">
        <f>+(J6-'Consumo Aparente 2014'!J6)/'Consumo Aparente 2014'!J6</f>
        <v>0.27968120149726255</v>
      </c>
      <c r="K7" s="35">
        <f>+(K6-'Consumo Aparente 2014'!K6)/'Consumo Aparente 2014'!K6</f>
        <v>0.25386421225543432</v>
      </c>
      <c r="L7" s="35">
        <f>+(L6-'Consumo Aparente 2014'!L6)/'Consumo Aparente 2014'!L6</f>
        <v>0.1336523970826721</v>
      </c>
      <c r="M7" s="35">
        <f>+(M6-'Consumo Aparente 2014'!M6)/'Consumo Aparente 2014'!M6</f>
        <v>0.10346603504632815</v>
      </c>
      <c r="N7" s="35">
        <f>+(N6-'Consumo Aparente 2014'!N6)/'Consumo Aparente 2014'!N6</f>
        <v>0.23335445256746562</v>
      </c>
      <c r="O7" s="35">
        <f>+(O6-'Consumo Aparente 2014'!O6)/'Consumo Aparente 2014'!O6</f>
        <v>-1.6245205090843109E-2</v>
      </c>
      <c r="P7" s="35">
        <f>+(P6-'Consumo Aparente 2014'!P6)/'Consumo Aparente 2014'!P6</f>
        <v>5.974905731328204E-2</v>
      </c>
      <c r="R7" s="14"/>
    </row>
    <row r="8" spans="2:18" ht="18" customHeight="1" thickTop="1" thickBot="1">
      <c r="B8" s="260" t="s">
        <v>77</v>
      </c>
      <c r="C8" s="31" t="s">
        <v>65</v>
      </c>
      <c r="D8" s="34">
        <f>+'Impo 2015'!D8-'Expo 2014'!D8</f>
        <v>30.633495879999991</v>
      </c>
      <c r="E8" s="34">
        <f>+'Impo 2015'!E8-'Expo 2014'!E8</f>
        <v>27.933994370000004</v>
      </c>
      <c r="F8" s="34">
        <f>+'Impo 2015'!F8-'Expo 2014'!F8</f>
        <v>33.342516970000005</v>
      </c>
      <c r="G8" s="34">
        <f>+'Impo 2015'!G8-'Expo 2014'!G8</f>
        <v>29.563650849999998</v>
      </c>
      <c r="H8" s="34">
        <f>+'Impo 2015'!H8-'Expo 2014'!H8</f>
        <v>35.084004029999988</v>
      </c>
      <c r="I8" s="34">
        <f>+'Impo 2015'!I8-'Expo 2014'!I8</f>
        <v>25.022363819999999</v>
      </c>
      <c r="J8" s="34">
        <f>+'Impo 2015'!J8-'Expo 2014'!J8</f>
        <v>34.599814440000017</v>
      </c>
      <c r="K8" s="34">
        <f>+'Impo 2015'!K8-'Expo 2014'!K8</f>
        <v>16.043354579999985</v>
      </c>
      <c r="L8" s="34">
        <f>+'Impo 2015'!L8-'Expo 2014'!L8</f>
        <v>35.116024460000013</v>
      </c>
      <c r="M8" s="34">
        <f>+'Impo 2015'!M8-'Expo 2014'!M8</f>
        <v>38.271021279999992</v>
      </c>
      <c r="N8" s="34">
        <f>+'Impo 2015'!N8-'Expo 2014'!N8</f>
        <v>35.57298486000002</v>
      </c>
      <c r="O8" s="34">
        <f>+'Impo 2015'!O8-'Expo 2014'!O8</f>
        <v>36.319948323333335</v>
      </c>
      <c r="P8" s="34">
        <f>SUM(D8:O8)</f>
        <v>377.50317386333336</v>
      </c>
      <c r="R8" s="14"/>
    </row>
    <row r="9" spans="2:18" ht="18" customHeight="1" thickTop="1" thickBot="1">
      <c r="B9" s="260"/>
      <c r="C9" s="29" t="s">
        <v>59</v>
      </c>
      <c r="D9" s="34">
        <f>+'Impo 2015'!D9-'Expo 2014'!D9</f>
        <v>18.758112889999996</v>
      </c>
      <c r="E9" s="34">
        <f>+'Impo 2015'!E9-'Expo 2014'!E9</f>
        <v>12.790738289999998</v>
      </c>
      <c r="F9" s="34">
        <f>+'Impo 2015'!F9-'Expo 2014'!F9</f>
        <v>17.816243229999998</v>
      </c>
      <c r="G9" s="34">
        <f>+'Impo 2015'!G9-'Expo 2014'!G9</f>
        <v>13.181858279999997</v>
      </c>
      <c r="H9" s="34">
        <f>+'Impo 2015'!H9-'Expo 2014'!H9</f>
        <v>15.572954599999997</v>
      </c>
      <c r="I9" s="34">
        <f>+'Impo 2015'!I9-'Expo 2014'!I9</f>
        <v>14.696324779999999</v>
      </c>
      <c r="J9" s="34">
        <f>+'Impo 2015'!J9-'Expo 2014'!J9</f>
        <v>19.214439379999998</v>
      </c>
      <c r="K9" s="34">
        <f>+'Impo 2015'!K9-'Expo 2014'!K9</f>
        <v>14.874505029999998</v>
      </c>
      <c r="L9" s="34">
        <f>+'Impo 2015'!L9-'Expo 2014'!L9</f>
        <v>14.10034357</v>
      </c>
      <c r="M9" s="34">
        <f>+'Impo 2015'!M9-'Expo 2014'!M9</f>
        <v>15.732034820000004</v>
      </c>
      <c r="N9" s="34">
        <f>+'Impo 2015'!N9-'Expo 2014'!N9</f>
        <v>10.172284119999997</v>
      </c>
      <c r="O9" s="34">
        <f>+'Impo 2015'!O9-'Expo 2014'!O9</f>
        <v>13.335266863333336</v>
      </c>
      <c r="P9" s="34">
        <f>SUM(D9:O9)</f>
        <v>180.24510585333331</v>
      </c>
      <c r="R9" s="14"/>
    </row>
    <row r="10" spans="2:18" ht="18" customHeight="1" thickTop="1" thickBot="1">
      <c r="B10" s="260"/>
      <c r="C10" s="29" t="s">
        <v>60</v>
      </c>
      <c r="D10" s="34">
        <f>+'Impo 2015'!D10-'Expo 2014'!D10</f>
        <v>2.7433290900000005</v>
      </c>
      <c r="E10" s="34">
        <f>+'Impo 2015'!E10-'Expo 2014'!E10</f>
        <v>3.0857804799999999</v>
      </c>
      <c r="F10" s="34">
        <f>+'Impo 2015'!F10-'Expo 2014'!F10</f>
        <v>2.2684446700000005</v>
      </c>
      <c r="G10" s="34">
        <f>+'Impo 2015'!G10-'Expo 2014'!G10</f>
        <v>3.0140860100000006</v>
      </c>
      <c r="H10" s="34">
        <f>+'Impo 2015'!H10-'Expo 2014'!H10</f>
        <v>1.7783973100000006</v>
      </c>
      <c r="I10" s="34">
        <f>+'Impo 2015'!I10-'Expo 2014'!I10</f>
        <v>1.2313470200000001</v>
      </c>
      <c r="J10" s="34">
        <f>+'Impo 2015'!J10-'Expo 2014'!J10</f>
        <v>1.9281609500000001</v>
      </c>
      <c r="K10" s="34">
        <f>+'Impo 2015'!K10-'Expo 2014'!K10</f>
        <v>0.83951682000000005</v>
      </c>
      <c r="L10" s="34">
        <f>+'Impo 2015'!L10-'Expo 2014'!L10</f>
        <v>1.5499084000000001</v>
      </c>
      <c r="M10" s="34">
        <f>+'Impo 2015'!M10-'Expo 2014'!M10</f>
        <v>2.1619731400000002</v>
      </c>
      <c r="N10" s="34">
        <f>+'Impo 2015'!N10-'Expo 2014'!N10</f>
        <v>0.97663993000000004</v>
      </c>
      <c r="O10" s="34">
        <f>+'Impo 2015'!O10-'Expo 2014'!O10</f>
        <v>1.5681622533333333</v>
      </c>
      <c r="P10" s="34">
        <f>SUM(D10:O10)</f>
        <v>23.145746073333335</v>
      </c>
      <c r="R10" s="14"/>
    </row>
    <row r="11" spans="2:18" ht="18" customHeight="1" thickTop="1" thickBot="1">
      <c r="B11" s="260"/>
      <c r="C11" s="29" t="s">
        <v>139</v>
      </c>
      <c r="D11" s="34">
        <f>+D8+D9+D10</f>
        <v>52.134937859999994</v>
      </c>
      <c r="E11" s="34">
        <f t="shared" ref="E11:P11" si="1">+E8+E9+E10</f>
        <v>43.810513139999998</v>
      </c>
      <c r="F11" s="34">
        <f t="shared" si="1"/>
        <v>53.427204870000004</v>
      </c>
      <c r="G11" s="34">
        <f t="shared" si="1"/>
        <v>45.759595139999995</v>
      </c>
      <c r="H11" s="34">
        <f t="shared" si="1"/>
        <v>52.435355939999987</v>
      </c>
      <c r="I11" s="34">
        <f t="shared" si="1"/>
        <v>40.950035620000001</v>
      </c>
      <c r="J11" s="34">
        <f t="shared" si="1"/>
        <v>55.742414770000018</v>
      </c>
      <c r="K11" s="34">
        <f t="shared" si="1"/>
        <v>31.757376429999983</v>
      </c>
      <c r="L11" s="34">
        <f t="shared" si="1"/>
        <v>50.766276430000012</v>
      </c>
      <c r="M11" s="34">
        <f t="shared" si="1"/>
        <v>56.165029239999996</v>
      </c>
      <c r="N11" s="34">
        <f t="shared" si="1"/>
        <v>46.721908910000018</v>
      </c>
      <c r="O11" s="34">
        <f t="shared" si="1"/>
        <v>51.223377440000007</v>
      </c>
      <c r="P11" s="34">
        <f t="shared" si="1"/>
        <v>580.89402579000011</v>
      </c>
      <c r="R11" s="46">
        <f>+D11+E11+F11+G11+H11+I11+J11+K11</f>
        <v>376.01743376999997</v>
      </c>
    </row>
    <row r="12" spans="2:18" ht="18" customHeight="1" thickTop="1" thickBot="1">
      <c r="B12" s="260"/>
      <c r="C12" s="32" t="s">
        <v>67</v>
      </c>
      <c r="D12" s="35">
        <f>+(D11-'Consumo Aparente 2014'!D11)/'Consumo Aparente 2014'!D11</f>
        <v>3.3778919638612549E-2</v>
      </c>
      <c r="E12" s="35">
        <f>+(E11-'Consumo Aparente 2014'!E11)/'Consumo Aparente 2014'!E11</f>
        <v>1.4645636285647504E-2</v>
      </c>
      <c r="F12" s="35">
        <f>+(F11-'Consumo Aparente 2014'!F11)/'Consumo Aparente 2014'!F11</f>
        <v>0.30980954620457124</v>
      </c>
      <c r="G12" s="35">
        <f>+(G11-'Consumo Aparente 2014'!G11)/'Consumo Aparente 2014'!G11</f>
        <v>0.38738801280681756</v>
      </c>
      <c r="H12" s="35">
        <f>+(H11-'Consumo Aparente 2014'!H11)/'Consumo Aparente 2014'!H11</f>
        <v>0.176043952579573</v>
      </c>
      <c r="I12" s="35">
        <f>+(I11-'Consumo Aparente 2014'!I11)/'Consumo Aparente 2014'!I11</f>
        <v>-6.6324316781902606E-2</v>
      </c>
      <c r="J12" s="35">
        <f>+(J11-'Consumo Aparente 2014'!J11)/'Consumo Aparente 2014'!J11</f>
        <v>9.6398447472169982E-2</v>
      </c>
      <c r="K12" s="35">
        <f>+(K11-'Consumo Aparente 2014'!K11)/'Consumo Aparente 2014'!K11</f>
        <v>-0.39971788299779559</v>
      </c>
      <c r="L12" s="35">
        <f>+(L11-'Consumo Aparente 2014'!L11)/'Consumo Aparente 2014'!L11</f>
        <v>-7.9061877301604869E-2</v>
      </c>
      <c r="M12" s="35">
        <f>+(M11-'Consumo Aparente 2014'!M11)/'Consumo Aparente 2014'!M11</f>
        <v>-0.16040025249765721</v>
      </c>
      <c r="N12" s="35">
        <f>+(N11-'Consumo Aparente 2014'!N11)/'Consumo Aparente 2014'!N11</f>
        <v>-0.10513720600174532</v>
      </c>
      <c r="O12" s="35">
        <f>+(O11-'Consumo Aparente 2014'!O11)/'Consumo Aparente 2014'!O11</f>
        <v>-0.23310231043163318</v>
      </c>
      <c r="P12" s="35">
        <f>+(P11-'Consumo Aparente 2014'!P11)/'Consumo Aparente 2014'!P11</f>
        <v>-3.2804951479211003E-2</v>
      </c>
      <c r="R12" s="14"/>
    </row>
    <row r="13" spans="2:18" ht="18" customHeight="1" thickTop="1" thickBot="1">
      <c r="B13" s="260" t="s">
        <v>42</v>
      </c>
      <c r="C13" s="31" t="s">
        <v>65</v>
      </c>
      <c r="D13" s="34">
        <f>+'Producción Laminados 2015'!D8+'Impo 2015'!D13-'Expo 2015'!D13</f>
        <v>818.37</v>
      </c>
      <c r="E13" s="34">
        <f>+'Producción Laminados 2015'!E8+'Impo 2015'!E13-'Expo 2015'!E13</f>
        <v>874.43600000000004</v>
      </c>
      <c r="F13" s="34">
        <f>+'Producción Laminados 2015'!F8+'Impo 2015'!F13-'Expo 2015'!F13</f>
        <v>836.42000000000007</v>
      </c>
      <c r="G13" s="34">
        <f>+'Producción Laminados 2015'!G8+'Impo 2015'!G13-'Expo 2015'!G13</f>
        <v>997.91999999999985</v>
      </c>
      <c r="H13" s="34">
        <f>+'Producción Laminados 2015'!H8+'Impo 2015'!H13-'Expo 2015'!H13</f>
        <v>806.07799999999997</v>
      </c>
      <c r="I13" s="34">
        <f>+'Producción Laminados 2015'!I8+'Impo 2015'!I13-'Expo 2015'!I13</f>
        <v>682.20400000000006</v>
      </c>
      <c r="J13" s="34">
        <f>+'Producción Laminados 2015'!J8+'Impo 2015'!J13-'Expo 2015'!J13</f>
        <v>684.94599999999991</v>
      </c>
      <c r="K13" s="34">
        <f>+'Producción Laminados 2015'!K8+'Impo 2015'!K13-'Expo 2015'!K13</f>
        <v>766.14099999999996</v>
      </c>
      <c r="L13" s="34">
        <f>+'Producción Laminados 2015'!L8+'Impo 2015'!L13-'Expo 2015'!L13</f>
        <v>593.4079999999999</v>
      </c>
      <c r="M13" s="34">
        <f>+'Producción Laminados 2015'!M8+'Impo 2015'!M13-'Expo 2015'!M13</f>
        <v>746.88199999999995</v>
      </c>
      <c r="N13" s="34">
        <f>+'Producción Laminados 2015'!N8+'Impo 2015'!N13-'Expo 2015'!N13</f>
        <v>722.11500000000001</v>
      </c>
      <c r="O13" s="34">
        <f>+'Producción Laminados 2015'!O8+'Impo 2015'!O13-'Expo 2015'!O13</f>
        <v>370.40500000000003</v>
      </c>
      <c r="P13" s="34">
        <f>SUM(D13:O13)</f>
        <v>8899.3249999999989</v>
      </c>
      <c r="R13" s="14"/>
    </row>
    <row r="14" spans="2:18" ht="18" customHeight="1" thickTop="1" thickBot="1">
      <c r="B14" s="260"/>
      <c r="C14" s="29" t="s">
        <v>59</v>
      </c>
      <c r="D14" s="34">
        <f>+'Producción Laminados 2015'!D9+'Impo 2015'!D14-'Expo 2015'!D14</f>
        <v>1250.4490000000001</v>
      </c>
      <c r="E14" s="34">
        <f>+'Producción Laminados 2015'!E9+'Impo 2015'!E14-'Expo 2015'!E14</f>
        <v>1170.8870000000002</v>
      </c>
      <c r="F14" s="34">
        <f>+'Producción Laminados 2015'!F9+'Impo 2015'!F14-'Expo 2015'!F14</f>
        <v>1148.933</v>
      </c>
      <c r="G14" s="34">
        <f>+'Producción Laminados 2015'!G9+'Impo 2015'!G14-'Expo 2015'!G14</f>
        <v>1227.1109999999999</v>
      </c>
      <c r="H14" s="34">
        <f>+'Producción Laminados 2015'!H9+'Impo 2015'!H14-'Expo 2015'!H14</f>
        <v>964.20899999999983</v>
      </c>
      <c r="I14" s="34">
        <f>+'Producción Laminados 2015'!I9+'Impo 2015'!I14-'Expo 2015'!I14</f>
        <v>1040.5369999999998</v>
      </c>
      <c r="J14" s="34">
        <f>+'Producción Laminados 2015'!J9+'Impo 2015'!J14-'Expo 2015'!J14</f>
        <v>942.55599999999993</v>
      </c>
      <c r="K14" s="34">
        <f>+'Producción Laminados 2015'!K9+'Impo 2015'!K14-'Expo 2015'!K14</f>
        <v>752.24500000000012</v>
      </c>
      <c r="L14" s="34">
        <f>+'Producción Laminados 2015'!L9+'Impo 2015'!L14-'Expo 2015'!L14</f>
        <v>690.91899999999987</v>
      </c>
      <c r="M14" s="34">
        <f>+'Producción Laminados 2015'!M9+'Impo 2015'!M14-'Expo 2015'!M14</f>
        <v>811.22800000000007</v>
      </c>
      <c r="N14" s="34">
        <f>+'Producción Laminados 2015'!N9+'Impo 2015'!N14-'Expo 2015'!N14</f>
        <v>818.50699999999983</v>
      </c>
      <c r="O14" s="34">
        <f>+'Producción Laminados 2015'!O9+'Impo 2015'!O14-'Expo 2015'!O14</f>
        <v>844.11900000000003</v>
      </c>
      <c r="P14" s="34">
        <f>SUM(D14:O14)</f>
        <v>11661.7</v>
      </c>
      <c r="R14" s="14"/>
    </row>
    <row r="15" spans="2:18" ht="18" customHeight="1" thickTop="1" thickBot="1">
      <c r="B15" s="260"/>
      <c r="C15" s="29" t="s">
        <v>60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f>SUM(D15:O15)</f>
        <v>0</v>
      </c>
      <c r="R15" s="14"/>
    </row>
    <row r="16" spans="2:18" ht="18" customHeight="1" thickTop="1" thickBot="1">
      <c r="B16" s="260"/>
      <c r="C16" s="29" t="s">
        <v>139</v>
      </c>
      <c r="D16" s="34">
        <v>2048</v>
      </c>
      <c r="E16" s="34">
        <v>1874</v>
      </c>
      <c r="F16" s="34">
        <v>2225</v>
      </c>
      <c r="G16" s="34">
        <v>1973</v>
      </c>
      <c r="H16" s="34">
        <v>1826</v>
      </c>
      <c r="I16" s="34">
        <v>1796</v>
      </c>
      <c r="J16" s="34">
        <v>1692</v>
      </c>
      <c r="K16" s="34">
        <v>1773</v>
      </c>
      <c r="L16" s="34">
        <v>1705</v>
      </c>
      <c r="M16" s="34">
        <v>1640</v>
      </c>
      <c r="N16" s="34">
        <v>1501</v>
      </c>
      <c r="O16" s="34">
        <v>1238</v>
      </c>
      <c r="P16" s="34">
        <f>SUM(D16:O16)</f>
        <v>21291</v>
      </c>
      <c r="R16" s="46">
        <f>+D16+E16+F16+G16+H16+I16+J16+K16</f>
        <v>15207</v>
      </c>
    </row>
    <row r="17" spans="2:18" ht="18" customHeight="1" thickTop="1" thickBot="1">
      <c r="B17" s="260"/>
      <c r="C17" s="32" t="s">
        <v>67</v>
      </c>
      <c r="D17" s="35">
        <f>+(D16-'Consumo Aparente 2014'!D16)/'Consumo Aparente 2014'!D16</f>
        <v>-4.7884704788470477E-2</v>
      </c>
      <c r="E17" s="35">
        <f>+(E16-'Consumo Aparente 2014'!E16)/'Consumo Aparente 2014'!E16</f>
        <v>-0.11520302171860246</v>
      </c>
      <c r="F17" s="35">
        <f>+(F16-'Consumo Aparente 2014'!F16)/'Consumo Aparente 2014'!F16</f>
        <v>-2.8384279475982533E-2</v>
      </c>
      <c r="G17" s="35">
        <f>+(G16-'Consumo Aparente 2014'!G16)/'Consumo Aparente 2014'!G16</f>
        <v>-0.11603942652329749</v>
      </c>
      <c r="H17" s="35">
        <f>+(H16-'Consumo Aparente 2014'!H16)/'Consumo Aparente 2014'!H16</f>
        <v>-0.22921063739974673</v>
      </c>
      <c r="I17" s="35">
        <f>+(I16-'Consumo Aparente 2014'!I16)/'Consumo Aparente 2014'!I16</f>
        <v>-7.8028747433264892E-2</v>
      </c>
      <c r="J17" s="35">
        <f>+(J16-'Consumo Aparente 2014'!J16)/'Consumo Aparente 2014'!J16</f>
        <v>-0.24866785079928952</v>
      </c>
      <c r="K17" s="35">
        <f>+(K16-'Consumo Aparente 2014'!K16)/'Consumo Aparente 2014'!K16</f>
        <v>-0.15126854954523697</v>
      </c>
      <c r="L17" s="35">
        <f>+(L16-'Consumo Aparente 2014'!L16)/'Consumo Aparente 2014'!L16</f>
        <v>-0.23815907059874888</v>
      </c>
      <c r="M17" s="35">
        <f>+(M16-'Consumo Aparente 2014'!M16)/'Consumo Aparente 2014'!M16</f>
        <v>-0.26818384649709953</v>
      </c>
      <c r="N17" s="35">
        <f>+(N16-'Consumo Aparente 2014'!N16)/'Consumo Aparente 2014'!N16</f>
        <v>-0.23104508196721313</v>
      </c>
      <c r="O17" s="35">
        <f>+(O16-'Consumo Aparente 2014'!O16)/'Consumo Aparente 2014'!O16</f>
        <v>-0.28273464658169178</v>
      </c>
      <c r="P17" s="35">
        <f>+(P16-'Consumo Aparente 2014'!P16)/'Consumo Aparente 2014'!P16</f>
        <v>-0.16851519175193314</v>
      </c>
      <c r="R17" s="14"/>
    </row>
    <row r="18" spans="2:18" ht="18" customHeight="1" thickTop="1" thickBot="1">
      <c r="B18" s="260" t="s">
        <v>1</v>
      </c>
      <c r="C18" s="31" t="s">
        <v>65</v>
      </c>
      <c r="D18" s="34">
        <f>+'Producción Laminados 2015'!D13+'Impo 2015'!D18-'Expo 2015'!D18</f>
        <v>132.33061831000001</v>
      </c>
      <c r="E18" s="34">
        <f>+'Producción Laminados 2015'!E13+'Impo 2015'!E18-'Expo 2015'!E18</f>
        <v>94.161990320000001</v>
      </c>
      <c r="F18" s="34">
        <f>+'Producción Laminados 2015'!F13+'Impo 2015'!F18-'Expo 2015'!F18</f>
        <v>135.72227911000002</v>
      </c>
      <c r="G18" s="34">
        <f>+'Producción Laminados 2015'!G13+'Impo 2015'!G18-'Expo 2015'!G18</f>
        <v>100.59325667</v>
      </c>
      <c r="H18" s="34">
        <f>+'Producción Laminados 2015'!H13+'Impo 2015'!H18-'Expo 2015'!H18</f>
        <v>125.87694877000003</v>
      </c>
      <c r="I18" s="34">
        <f>+'Producción Laminados 2015'!I13+'Impo 2015'!I18-'Expo 2015'!I18</f>
        <v>84.335259039999997</v>
      </c>
      <c r="J18" s="34">
        <f>+'Producción Laminados 2015'!J13+'Impo 2015'!J18-'Expo 2015'!J18</f>
        <v>134.83863778000003</v>
      </c>
      <c r="K18" s="34">
        <f>+'Producción Laminados 2015'!K13+'Impo 2015'!K18-'Expo 2015'!K18</f>
        <v>116.94922736000001</v>
      </c>
      <c r="L18" s="34">
        <f>+'Producción Laminados 2015'!L13+'Impo 2015'!L18-'Expo 2015'!L18</f>
        <v>109.04063378000001</v>
      </c>
      <c r="M18" s="34">
        <f>+'Producción Laminados 2015'!M13+'Impo 2015'!M18-'Expo 2015'!M18</f>
        <v>135.28466230999999</v>
      </c>
      <c r="N18" s="34">
        <f>+'Producción Laminados 2015'!N13+'Impo 2015'!N18-'Expo 2015'!N18</f>
        <v>143.00046778000001</v>
      </c>
      <c r="O18" s="34">
        <f>+'Producción Laminados 2015'!O13+'Impo 2015'!O18-'Expo 2015'!O18</f>
        <v>117.37564629000003</v>
      </c>
      <c r="P18" s="34">
        <f>SUM(D18:O18)</f>
        <v>1429.5096275200001</v>
      </c>
      <c r="R18" s="14"/>
    </row>
    <row r="19" spans="2:18" ht="18" customHeight="1" thickTop="1" thickBot="1">
      <c r="B19" s="260"/>
      <c r="C19" s="29" t="s">
        <v>59</v>
      </c>
      <c r="D19" s="34">
        <f>+'Producción Laminados 2015'!D14+'Impo 2015'!D19-'Expo 2015'!D19</f>
        <v>120.82632977</v>
      </c>
      <c r="E19" s="34">
        <f>+'Producción Laminados 2015'!E14+'Impo 2015'!E19-'Expo 2015'!E19</f>
        <v>91.430504079999992</v>
      </c>
      <c r="F19" s="34">
        <f>+'Producción Laminados 2015'!F14+'Impo 2015'!F19-'Expo 2015'!F19</f>
        <v>96.542884390000026</v>
      </c>
      <c r="G19" s="34">
        <f>+'Producción Laminados 2015'!G14+'Impo 2015'!G19-'Expo 2015'!G19</f>
        <v>149.88050766000009</v>
      </c>
      <c r="H19" s="34">
        <f>+'Producción Laminados 2015'!H14+'Impo 2015'!H19-'Expo 2015'!H19</f>
        <v>104.78356629999992</v>
      </c>
      <c r="I19" s="34">
        <f>+'Producción Laminados 2015'!I14+'Impo 2015'!I19-'Expo 2015'!I19</f>
        <v>86.235860830000021</v>
      </c>
      <c r="J19" s="34">
        <f>+'Producción Laminados 2015'!J14+'Impo 2015'!J19-'Expo 2015'!J19</f>
        <v>232.29697036000007</v>
      </c>
      <c r="K19" s="34">
        <f>+'Producción Laminados 2015'!K14+'Impo 2015'!K19-'Expo 2015'!K19</f>
        <v>88.03897289999999</v>
      </c>
      <c r="L19" s="34">
        <f>+'Producción Laminados 2015'!L14+'Impo 2015'!L19-'Expo 2015'!L19</f>
        <v>118.36848581</v>
      </c>
      <c r="M19" s="34">
        <f>+'Producción Laminados 2015'!M14+'Impo 2015'!M19-'Expo 2015'!M19</f>
        <v>102.69647496</v>
      </c>
      <c r="N19" s="34">
        <f>+'Producción Laminados 2015'!N14+'Impo 2015'!N19-'Expo 2015'!N19</f>
        <v>88.045654419999991</v>
      </c>
      <c r="O19" s="34">
        <f>+'Producción Laminados 2015'!O14+'Impo 2015'!O19-'Expo 2015'!O19</f>
        <v>82.693575650000042</v>
      </c>
      <c r="P19" s="34">
        <f>SUM(D19:O19)</f>
        <v>1361.8397871299999</v>
      </c>
      <c r="R19" s="14"/>
    </row>
    <row r="20" spans="2:18" ht="18" customHeight="1" thickTop="1" thickBot="1">
      <c r="B20" s="260"/>
      <c r="C20" s="29" t="s">
        <v>60</v>
      </c>
      <c r="D20" s="34">
        <f>+'Producción Laminados 2015'!D15+'Impo 2015'!D20-'Expo 2015'!D20</f>
        <v>2.1338501899999995</v>
      </c>
      <c r="E20" s="34">
        <f>+'Producción Laminados 2015'!E15+'Impo 2015'!E20-'Expo 2015'!E20</f>
        <v>3.4572795699999981</v>
      </c>
      <c r="F20" s="34">
        <f>+'Producción Laminados 2015'!F15+'Impo 2015'!F20-'Expo 2015'!F20</f>
        <v>1.5814417700000001</v>
      </c>
      <c r="G20" s="34">
        <f>+'Producción Laminados 2015'!G15+'Impo 2015'!G20-'Expo 2015'!G20</f>
        <v>3.0851689300000018</v>
      </c>
      <c r="H20" s="34">
        <f>+'Producción Laminados 2015'!H15+'Impo 2015'!H20-'Expo 2015'!H20</f>
        <v>1.8596647000000015</v>
      </c>
      <c r="I20" s="34">
        <f>+'Producción Laminados 2015'!I15+'Impo 2015'!I20-'Expo 2015'!I20</f>
        <v>3.149298150000003</v>
      </c>
      <c r="J20" s="34">
        <f>+'Producción Laminados 2015'!J15+'Impo 2015'!J20-'Expo 2015'!J20</f>
        <v>2.9577748400000003</v>
      </c>
      <c r="K20" s="34">
        <f>+'Producción Laminados 2015'!K15+'Impo 2015'!K20-'Expo 2015'!K20</f>
        <v>2.4367374300000009</v>
      </c>
      <c r="L20" s="34">
        <f>+'Producción Laminados 2015'!L15+'Impo 2015'!L20-'Expo 2015'!L20</f>
        <v>2.1788464100000002</v>
      </c>
      <c r="M20" s="34">
        <f>+'Producción Laminados 2015'!M15+'Impo 2015'!M20-'Expo 2015'!M20</f>
        <v>2.9192437900000008</v>
      </c>
      <c r="N20" s="34">
        <f>+'Producción Laminados 2015'!N15+'Impo 2015'!N20-'Expo 2015'!N20</f>
        <v>1.7513609900000002</v>
      </c>
      <c r="O20" s="34">
        <f>+'Producción Laminados 2015'!O15+'Impo 2015'!O20-'Expo 2015'!O20</f>
        <v>2.7679023500000013</v>
      </c>
      <c r="P20" s="34">
        <f>SUM(D20:O20)</f>
        <v>30.27856912</v>
      </c>
      <c r="R20" s="14"/>
    </row>
    <row r="21" spans="2:18" ht="18" customHeight="1" thickTop="1" thickBot="1">
      <c r="B21" s="260"/>
      <c r="C21" s="29" t="s">
        <v>139</v>
      </c>
      <c r="D21" s="34">
        <f>+D18+D19+D20</f>
        <v>255.29079827000001</v>
      </c>
      <c r="E21" s="34">
        <f t="shared" ref="E21:O21" si="2">+E18+E19+E20</f>
        <v>189.04977396999999</v>
      </c>
      <c r="F21" s="34">
        <f t="shared" si="2"/>
        <v>233.84660527000003</v>
      </c>
      <c r="G21" s="34">
        <f t="shared" si="2"/>
        <v>253.55893326000012</v>
      </c>
      <c r="H21" s="34">
        <f t="shared" si="2"/>
        <v>232.52017976999994</v>
      </c>
      <c r="I21" s="52">
        <f t="shared" si="2"/>
        <v>173.72041802000001</v>
      </c>
      <c r="J21" s="52">
        <f t="shared" si="2"/>
        <v>370.09338298000011</v>
      </c>
      <c r="K21" s="52">
        <f t="shared" si="2"/>
        <v>207.42493768999998</v>
      </c>
      <c r="L21" s="52">
        <f t="shared" si="2"/>
        <v>229.58796599999999</v>
      </c>
      <c r="M21" s="52">
        <f t="shared" si="2"/>
        <v>240.90038105999997</v>
      </c>
      <c r="N21" s="52">
        <f t="shared" si="2"/>
        <v>232.79748319000001</v>
      </c>
      <c r="O21" s="52">
        <f t="shared" si="2"/>
        <v>202.83712429000011</v>
      </c>
      <c r="P21" s="34">
        <f>+P18+P19+P20</f>
        <v>2821.6279837699999</v>
      </c>
      <c r="R21" s="46">
        <f>+D21+E21+F21+G21+H21+I21+J21+K21</f>
        <v>1915.5050292300004</v>
      </c>
    </row>
    <row r="22" spans="2:18" ht="18" customHeight="1" thickTop="1" thickBot="1">
      <c r="B22" s="260"/>
      <c r="C22" s="32" t="s">
        <v>67</v>
      </c>
      <c r="D22" s="35">
        <f>+(D21-'Consumo Aparente 2014'!D21)/'Consumo Aparente 2014'!D21</f>
        <v>4.1829617565629681E-2</v>
      </c>
      <c r="E22" s="35">
        <f>+(E21-'Consumo Aparente 2014'!E21)/'Consumo Aparente 2014'!E21</f>
        <v>0.36679561962436541</v>
      </c>
      <c r="F22" s="35">
        <f>+(F21-'Consumo Aparente 2014'!F21)/'Consumo Aparente 2014'!F21</f>
        <v>0.10133735373774866</v>
      </c>
      <c r="G22" s="35">
        <f>+(G21-'Consumo Aparente 2014'!G21)/'Consumo Aparente 2014'!G21</f>
        <v>4.4575956376418625E-2</v>
      </c>
      <c r="H22" s="35">
        <f>+(H21-'Consumo Aparente 2014'!H21)/'Consumo Aparente 2014'!H21</f>
        <v>4.3355557153002813E-3</v>
      </c>
      <c r="I22" s="35">
        <f>+(I21-'Consumo Aparente 2014'!I21)/'Consumo Aparente 2014'!I21</f>
        <v>-2.1477442487280635E-2</v>
      </c>
      <c r="J22" s="35">
        <f>+(J21-'Consumo Aparente 2014'!J21)/'Consumo Aparente 2014'!J21</f>
        <v>0.6793563310228371</v>
      </c>
      <c r="K22" s="35">
        <f>+(K21-'Consumo Aparente 2014'!K21)/'Consumo Aparente 2014'!K21</f>
        <v>-5.6279232952698877E-2</v>
      </c>
      <c r="L22" s="35">
        <f>+(L21-'Consumo Aparente 2014'!L21)/'Consumo Aparente 2014'!L21</f>
        <v>0.23864124676558188</v>
      </c>
      <c r="M22" s="35">
        <f>+(M21-'Consumo Aparente 2014'!M21)/'Consumo Aparente 2014'!M21</f>
        <v>0.45047097083100529</v>
      </c>
      <c r="N22" s="35">
        <f>+(N21-'Consumo Aparente 2014'!N21)/'Consumo Aparente 2014'!N21</f>
        <v>-7.9865946425952128E-2</v>
      </c>
      <c r="O22" s="35">
        <f>+(O21-'Consumo Aparente 2014'!O21)/'Consumo Aparente 2014'!O21</f>
        <v>-5.6498036919306709E-3</v>
      </c>
      <c r="P22" s="35">
        <f>+(P21-'Consumo Aparente 2014'!P21)/'Consumo Aparente 2014'!P21</f>
        <v>0.13042352654192982</v>
      </c>
      <c r="R22" s="14"/>
    </row>
    <row r="23" spans="2:18" ht="18" customHeight="1" thickTop="1" thickBot="1">
      <c r="B23" s="260" t="s">
        <v>2</v>
      </c>
      <c r="C23" s="31" t="s">
        <v>65</v>
      </c>
      <c r="D23" s="34">
        <f>+'Producción Laminados 2015'!D18+'Impo 2015'!D23-'Expo 2015'!D23</f>
        <v>224.94579728000005</v>
      </c>
      <c r="E23" s="34">
        <f>+'Producción Laminados 2015'!E18+'Impo 2015'!E23-'Expo 2015'!E23</f>
        <v>186.49879399000002</v>
      </c>
      <c r="F23" s="34">
        <f>+'Producción Laminados 2015'!F18+'Impo 2015'!F23-'Expo 2015'!F23</f>
        <v>182.17965220000002</v>
      </c>
      <c r="G23" s="34">
        <f>+'Producción Laminados 2015'!G18+'Impo 2015'!G23-'Expo 2015'!G23</f>
        <v>204.31920811000001</v>
      </c>
      <c r="H23" s="34">
        <f>+'Producción Laminados 2015'!H18+'Impo 2015'!H23-'Expo 2015'!H23</f>
        <v>205.77134839000001</v>
      </c>
      <c r="I23" s="34">
        <f>+'Producción Laminados 2015'!I18+'Impo 2015'!I23-'Expo 2015'!I23</f>
        <v>216.25075274999998</v>
      </c>
      <c r="J23" s="34">
        <f>+'Producción Laminados 2015'!J18+'Impo 2015'!J23-'Expo 2015'!J23</f>
        <v>221.90452977999996</v>
      </c>
      <c r="K23" s="34">
        <f>+'Producción Laminados 2015'!K18+'Impo 2015'!K23-'Expo 2015'!K23</f>
        <v>218.62678270000001</v>
      </c>
      <c r="L23" s="34">
        <f>+'Producción Laminados 2015'!L18+'Impo 2015'!L23-'Expo 2015'!L23</f>
        <v>255.78424946000001</v>
      </c>
      <c r="M23" s="34">
        <f>+'Producción Laminados 2015'!M18+'Impo 2015'!M23-'Expo 2015'!M23</f>
        <v>267.77248281999999</v>
      </c>
      <c r="N23" s="34">
        <f>+'Producción Laminados 2015'!N18+'Impo 2015'!N23-'Expo 2015'!N23</f>
        <v>213.16518984999999</v>
      </c>
      <c r="O23" s="34">
        <f>+'Producción Laminados 2015'!O18+'Impo 2015'!O23-'Expo 2015'!O23</f>
        <v>160.82654525999999</v>
      </c>
      <c r="P23" s="34">
        <f>SUM(D23:O23)</f>
        <v>2558.0453325899998</v>
      </c>
      <c r="R23" s="14"/>
    </row>
    <row r="24" spans="2:18" ht="18" customHeight="1" thickTop="1" thickBot="1">
      <c r="B24" s="260"/>
      <c r="C24" s="29" t="s">
        <v>59</v>
      </c>
      <c r="D24" s="34">
        <v>119.61916544000002</v>
      </c>
      <c r="E24" s="34">
        <v>104.18069515000002</v>
      </c>
      <c r="F24" s="34">
        <v>108.01536471999999</v>
      </c>
      <c r="G24" s="34">
        <v>74.225344620000001</v>
      </c>
      <c r="H24" s="34">
        <v>118.73985634999998</v>
      </c>
      <c r="I24" s="34">
        <v>121.60836223</v>
      </c>
      <c r="J24" s="34">
        <v>110.36393630999999</v>
      </c>
      <c r="K24" s="34">
        <v>106.61783754999999</v>
      </c>
      <c r="L24" s="34">
        <v>103.61971218000001</v>
      </c>
      <c r="M24" s="34">
        <v>201.86584459000005</v>
      </c>
      <c r="N24" s="34">
        <v>85.003607720000005</v>
      </c>
      <c r="O24" s="34">
        <v>95.495358560000014</v>
      </c>
      <c r="P24" s="34">
        <f>SUM(D24:O24)</f>
        <v>1349.35508542</v>
      </c>
      <c r="R24" s="14"/>
    </row>
    <row r="25" spans="2:18" ht="18" customHeight="1" thickTop="1" thickBot="1">
      <c r="B25" s="260"/>
      <c r="C25" s="29" t="s">
        <v>60</v>
      </c>
      <c r="D25" s="34">
        <f>+'Producción Laminados 2015'!D20+'Impo 2015'!D25-'Expo 2015'!D25</f>
        <v>8.1074564100000011</v>
      </c>
      <c r="E25" s="34">
        <f>+'Producción Laminados 2015'!E20+'Impo 2015'!E25-'Expo 2015'!E25</f>
        <v>14.70664601</v>
      </c>
      <c r="F25" s="34">
        <f>+'Producción Laminados 2015'!F20+'Impo 2015'!F25-'Expo 2015'!F25</f>
        <v>11.28783722</v>
      </c>
      <c r="G25" s="34">
        <f>+'Producción Laminados 2015'!G20+'Impo 2015'!G25-'Expo 2015'!G25</f>
        <v>21.452082909999977</v>
      </c>
      <c r="H25" s="34">
        <f>+'Producción Laminados 2015'!H20+'Impo 2015'!H25-'Expo 2015'!H25</f>
        <v>10.939513809999996</v>
      </c>
      <c r="I25" s="34">
        <f>+'Producción Laminados 2015'!I20+'Impo 2015'!I25-'Expo 2015'!I25</f>
        <v>4.1958440899999987</v>
      </c>
      <c r="J25" s="34">
        <f>+'Producción Laminados 2015'!J20+'Impo 2015'!J25-'Expo 2015'!J25</f>
        <v>9.4117204700000077</v>
      </c>
      <c r="K25" s="34">
        <f>+'Producción Laminados 2015'!K20+'Impo 2015'!K25-'Expo 2015'!K25</f>
        <v>11.886179789999996</v>
      </c>
      <c r="L25" s="34">
        <f>+'Producción Laminados 2015'!L20+'Impo 2015'!L25-'Expo 2015'!L25</f>
        <v>6.9944362399999989</v>
      </c>
      <c r="M25" s="34">
        <f>+'Producción Laminados 2015'!M20+'Impo 2015'!M25-'Expo 2015'!M25</f>
        <v>12.522154460000005</v>
      </c>
      <c r="N25" s="34">
        <f>+'Producción Laminados 2015'!N20+'Impo 2015'!N25-'Expo 2015'!N25</f>
        <v>8.1399313400000004</v>
      </c>
      <c r="O25" s="34">
        <f>+'Producción Laminados 2015'!O20+'Impo 2015'!O25-'Expo 2015'!O25</f>
        <v>4.711546219999998</v>
      </c>
      <c r="P25" s="34">
        <f>SUM(D25:O25)</f>
        <v>124.35534896999998</v>
      </c>
      <c r="R25" s="14"/>
    </row>
    <row r="26" spans="2:18" ht="18" customHeight="1" thickTop="1" thickBot="1">
      <c r="B26" s="260"/>
      <c r="C26" s="29" t="s">
        <v>139</v>
      </c>
      <c r="D26" s="34">
        <f>+D23+D24+D25</f>
        <v>352.67241913000004</v>
      </c>
      <c r="E26" s="34">
        <f t="shared" ref="E26:P26" si="3">+E23+E24+E25</f>
        <v>305.38613515000003</v>
      </c>
      <c r="F26" s="34">
        <f t="shared" si="3"/>
        <v>301.48285413999997</v>
      </c>
      <c r="G26" s="34">
        <f t="shared" si="3"/>
        <v>299.99663564000002</v>
      </c>
      <c r="H26" s="34">
        <f t="shared" si="3"/>
        <v>335.45071854999998</v>
      </c>
      <c r="I26" s="52">
        <f t="shared" si="3"/>
        <v>342.05495906999994</v>
      </c>
      <c r="J26" s="52">
        <f t="shared" si="3"/>
        <v>341.68018655999998</v>
      </c>
      <c r="K26" s="52">
        <f t="shared" si="3"/>
        <v>337.13080004</v>
      </c>
      <c r="L26" s="52">
        <f t="shared" si="3"/>
        <v>366.39839788000006</v>
      </c>
      <c r="M26" s="52">
        <f t="shared" si="3"/>
        <v>482.16048187000007</v>
      </c>
      <c r="N26" s="52">
        <f t="shared" si="3"/>
        <v>306.30872890999996</v>
      </c>
      <c r="O26" s="52">
        <f t="shared" si="3"/>
        <v>261.03345003999999</v>
      </c>
      <c r="P26" s="34">
        <f t="shared" si="3"/>
        <v>4031.7557669799999</v>
      </c>
      <c r="R26" s="46">
        <f>+D26+E26+F26+G26+H26+I26+J26+K26</f>
        <v>2615.8547082800001</v>
      </c>
    </row>
    <row r="27" spans="2:18" ht="18" customHeight="1" thickTop="1" thickBot="1">
      <c r="B27" s="260"/>
      <c r="C27" s="32" t="s">
        <v>67</v>
      </c>
      <c r="D27" s="35">
        <f>+(D26-'Consumo Aparente 2014'!D26)/'Consumo Aparente 2014'!D26</f>
        <v>8.2480428091223815E-2</v>
      </c>
      <c r="E27" s="35">
        <f>+(E26-'Consumo Aparente 2014'!E26)/'Consumo Aparente 2014'!E26</f>
        <v>-6.6752919246548484E-2</v>
      </c>
      <c r="F27" s="35">
        <f>+(F26-'Consumo Aparente 2014'!F26)/'Consumo Aparente 2014'!F26</f>
        <v>-0.14681218954125638</v>
      </c>
      <c r="G27" s="35">
        <f>+(G26-'Consumo Aparente 2014'!G26)/'Consumo Aparente 2014'!G26</f>
        <v>-0.29303879715472664</v>
      </c>
      <c r="H27" s="35">
        <f>+(H26-'Consumo Aparente 2014'!H26)/'Consumo Aparente 2014'!H26</f>
        <v>-0.12564691013422236</v>
      </c>
      <c r="I27" s="35">
        <f>+(I26-'Consumo Aparente 2014'!I26)/'Consumo Aparente 2014'!I26</f>
        <v>-4.015313348483214E-2</v>
      </c>
      <c r="J27" s="35">
        <f>+(J26-'Consumo Aparente 2014'!J26)/'Consumo Aparente 2014'!J26</f>
        <v>-0.16883926253139636</v>
      </c>
      <c r="K27" s="35">
        <f>+(K26-'Consumo Aparente 2014'!K26)/'Consumo Aparente 2014'!K26</f>
        <v>-4.5765157315285215E-2</v>
      </c>
      <c r="L27" s="35">
        <f>+(L26-'Consumo Aparente 2014'!L26)/'Consumo Aparente 2014'!L26</f>
        <v>0.13426395458929574</v>
      </c>
      <c r="M27" s="35">
        <f>+(M26-'Consumo Aparente 2014'!M26)/'Consumo Aparente 2014'!M26</f>
        <v>6.2990431974922725E-2</v>
      </c>
      <c r="N27" s="35">
        <f>+(N26-'Consumo Aparente 2014'!N26)/'Consumo Aparente 2014'!N26</f>
        <v>-2.0373399956175636E-2</v>
      </c>
      <c r="O27" s="35">
        <f>+(O26-'Consumo Aparente 2014'!O26)/'Consumo Aparente 2014'!O26</f>
        <v>-0.11367899298795431</v>
      </c>
      <c r="P27" s="35">
        <f>+(P26-'Consumo Aparente 2014'!P26)/'Consumo Aparente 2014'!P26</f>
        <v>1.961586580537231E-2</v>
      </c>
      <c r="R27" s="14"/>
    </row>
    <row r="28" spans="2:18" s="3" customFormat="1" ht="18" customHeight="1" thickTop="1" thickBot="1">
      <c r="B28" s="260" t="s">
        <v>5</v>
      </c>
      <c r="C28" s="31" t="s">
        <v>65</v>
      </c>
      <c r="D28" s="34">
        <f>+'Producción Laminados 2015'!D23+'Impo 2015'!D28-'Expo 2015'!D28</f>
        <v>33.410902</v>
      </c>
      <c r="E28" s="34">
        <f>+'Producción Laminados 2015'!E23+'Impo 2015'!E28-'Expo 2015'!E28</f>
        <v>41.225005000000003</v>
      </c>
      <c r="F28" s="34">
        <f>+'Producción Laminados 2015'!F23+'Impo 2015'!F28-'Expo 2015'!F28</f>
        <v>53.102241700000008</v>
      </c>
      <c r="G28" s="34">
        <f>+'Producción Laminados 2015'!G23+'Impo 2015'!G28-'Expo 2015'!G28</f>
        <v>40.134815800000005</v>
      </c>
      <c r="H28" s="34">
        <f>+'Producción Laminados 2015'!H23+'Impo 2015'!H28-'Expo 2015'!H28</f>
        <v>46.060467899999992</v>
      </c>
      <c r="I28" s="34">
        <f>+'Producción Laminados 2015'!I23+'Impo 2015'!I28-'Expo 2015'!I28</f>
        <v>44.148377599999996</v>
      </c>
      <c r="J28" s="34">
        <f>+'Producción Laminados 2015'!J23+'Impo 2015'!J28-'Expo 2015'!J28</f>
        <v>53.161757500000007</v>
      </c>
      <c r="K28" s="34">
        <f>+'Producción Laminados 2015'!K23+'Impo 2015'!K28-'Expo 2015'!K28</f>
        <v>44.023052100000008</v>
      </c>
      <c r="L28" s="34">
        <f>+'Producción Laminados 2015'!L23+'Impo 2015'!L28-'Expo 2015'!L28</f>
        <v>58.688928499999989</v>
      </c>
      <c r="M28" s="34">
        <f>+'Producción Laminados 2015'!M23+'Impo 2015'!M28-'Expo 2015'!M28</f>
        <v>48.252073300000006</v>
      </c>
      <c r="N28" s="34">
        <f>+'Producción Laminados 2015'!N23+'Impo 2015'!N28-'Expo 2015'!N28</f>
        <v>56.359983</v>
      </c>
      <c r="O28" s="34">
        <f>+'Producción Laminados 2015'!O23+'Impo 2015'!O28-'Expo 2015'!O28</f>
        <v>62.164873</v>
      </c>
      <c r="P28" s="34">
        <f>SUM(D28:O28)</f>
        <v>580.73247740000011</v>
      </c>
      <c r="R28" s="14"/>
    </row>
    <row r="29" spans="2:18" s="3" customFormat="1" ht="18" customHeight="1" thickTop="1" thickBot="1">
      <c r="B29" s="260"/>
      <c r="C29" s="29" t="s">
        <v>59</v>
      </c>
      <c r="D29" s="34">
        <f>+'Producción Laminados 2015'!D24+'Impo 2015'!D29-'Expo 2015'!D29</f>
        <v>37.054853000000001</v>
      </c>
      <c r="E29" s="34">
        <f>+'Producción Laminados 2015'!E24+'Impo 2015'!E29-'Expo 2015'!E29</f>
        <v>26.869197999999997</v>
      </c>
      <c r="F29" s="34">
        <f>+'Producción Laminados 2015'!F24+'Impo 2015'!F29-'Expo 2015'!F29</f>
        <v>28.141767999999999</v>
      </c>
      <c r="G29" s="34">
        <f>+'Producción Laminados 2015'!G24+'Impo 2015'!G29-'Expo 2015'!G29</f>
        <v>33.195316000000005</v>
      </c>
      <c r="H29" s="34">
        <f>+'Producción Laminados 2015'!H24+'Impo 2015'!H29-'Expo 2015'!H29</f>
        <v>22.284314000000002</v>
      </c>
      <c r="I29" s="34">
        <f>+'Producción Laminados 2015'!I24+'Impo 2015'!I29-'Expo 2015'!I29</f>
        <v>17.577144000000001</v>
      </c>
      <c r="J29" s="34">
        <f>+'Producción Laminados 2015'!J24+'Impo 2015'!J29-'Expo 2015'!J29</f>
        <v>6.7508349999999995</v>
      </c>
      <c r="K29" s="34">
        <f>+'Producción Laminados 2015'!K24+'Impo 2015'!K29-'Expo 2015'!K29</f>
        <v>16.446792000000002</v>
      </c>
      <c r="L29" s="34">
        <f>+'Producción Laminados 2015'!L24+'Impo 2015'!L29-'Expo 2015'!L29</f>
        <v>18.669098999999999</v>
      </c>
      <c r="M29" s="34">
        <f>+'Producción Laminados 2015'!M24+'Impo 2015'!M29-'Expo 2015'!M29</f>
        <v>27.000624000000002</v>
      </c>
      <c r="N29" s="34">
        <f>+'Producción Laminados 2015'!N24+'Impo 2015'!N29-'Expo 2015'!N29</f>
        <v>11.836681</v>
      </c>
      <c r="O29" s="34">
        <f>+'Producción Laminados 2015'!O24+'Impo 2015'!O29-'Expo 2015'!O29</f>
        <v>41.250227000000002</v>
      </c>
      <c r="P29" s="34">
        <f>SUM(D29:O29)</f>
        <v>287.07685099999998</v>
      </c>
      <c r="R29" s="14"/>
    </row>
    <row r="30" spans="2:18" s="3" customFormat="1" ht="18" customHeight="1" thickTop="1" thickBot="1">
      <c r="B30" s="260"/>
      <c r="C30" s="29" t="s">
        <v>60</v>
      </c>
      <c r="D30" s="34">
        <f>+'Producción Laminados 2015'!D25+'Impo 2015'!D30-'Expo 2015'!D30</f>
        <v>0.44096600000000002</v>
      </c>
      <c r="E30" s="34">
        <f>+'Producción Laminados 2015'!E25+'Impo 2015'!E30-'Expo 2015'!E30</f>
        <v>0.42663500000000004</v>
      </c>
      <c r="F30" s="34">
        <f>+'Producción Laminados 2015'!F25+'Impo 2015'!F30-'Expo 2015'!F30</f>
        <v>0.32356999999999997</v>
      </c>
      <c r="G30" s="34">
        <f>+'Producción Laminados 2015'!G25+'Impo 2015'!G30-'Expo 2015'!G30</f>
        <v>0.40192600000000001</v>
      </c>
      <c r="H30" s="34">
        <f>+'Producción Laminados 2015'!H25+'Impo 2015'!H30-'Expo 2015'!H30</f>
        <v>0.434506</v>
      </c>
      <c r="I30" s="34">
        <f>+'Producción Laminados 2015'!I25+'Impo 2015'!I30-'Expo 2015'!I30</f>
        <v>0.40932600000000002</v>
      </c>
      <c r="J30" s="34">
        <f>+'Producción Laminados 2015'!J25+'Impo 2015'!J30-'Expo 2015'!J30</f>
        <v>0.47447799999999996</v>
      </c>
      <c r="K30" s="34">
        <f>+'Producción Laminados 2015'!K25+'Impo 2015'!K30-'Expo 2015'!K30</f>
        <v>0.55809500000000001</v>
      </c>
      <c r="L30" s="34">
        <f>+'Producción Laminados 2015'!L25+'Impo 2015'!L30-'Expo 2015'!L30</f>
        <v>0.31624000000000002</v>
      </c>
      <c r="M30" s="34">
        <f>+'Producción Laminados 2015'!M25+'Impo 2015'!M30-'Expo 2015'!M30</f>
        <v>0.27920699999999998</v>
      </c>
      <c r="N30" s="34">
        <f>+'Producción Laminados 2015'!N25+'Impo 2015'!N30-'Expo 2015'!N30</f>
        <v>0.181092</v>
      </c>
      <c r="O30" s="34">
        <f>+'Producción Laminados 2015'!O25+'Impo 2015'!O30-'Expo 2015'!O30</f>
        <v>0.23288599999999998</v>
      </c>
      <c r="P30" s="34">
        <f>SUM(D30:O30)</f>
        <v>4.4789269999999997</v>
      </c>
      <c r="R30" s="14"/>
    </row>
    <row r="31" spans="2:18" s="3" customFormat="1" ht="18" customHeight="1" thickTop="1" thickBot="1">
      <c r="B31" s="260"/>
      <c r="C31" s="29" t="s">
        <v>139</v>
      </c>
      <c r="D31" s="34">
        <f>+D28+D29+D30</f>
        <v>70.906721000000005</v>
      </c>
      <c r="E31" s="34">
        <f t="shared" ref="E31:P31" si="4">+E28+E29+E30</f>
        <v>68.520837999999998</v>
      </c>
      <c r="F31" s="34">
        <f t="shared" si="4"/>
        <v>81.56757970000001</v>
      </c>
      <c r="G31" s="34">
        <f t="shared" si="4"/>
        <v>73.732057800000007</v>
      </c>
      <c r="H31" s="34">
        <f t="shared" si="4"/>
        <v>68.779287899999986</v>
      </c>
      <c r="I31" s="52">
        <f t="shared" si="4"/>
        <v>62.134847599999993</v>
      </c>
      <c r="J31" s="52">
        <f t="shared" si="4"/>
        <v>60.387070500000007</v>
      </c>
      <c r="K31" s="52">
        <f t="shared" si="4"/>
        <v>61.027939100000012</v>
      </c>
      <c r="L31" s="52">
        <f t="shared" si="4"/>
        <v>77.674267499999985</v>
      </c>
      <c r="M31" s="52">
        <f t="shared" si="4"/>
        <v>75.531904300000008</v>
      </c>
      <c r="N31" s="52">
        <f t="shared" si="4"/>
        <v>68.377756000000005</v>
      </c>
      <c r="O31" s="52">
        <f t="shared" si="4"/>
        <v>103.64798599999999</v>
      </c>
      <c r="P31" s="34">
        <f t="shared" si="4"/>
        <v>872.28825540000014</v>
      </c>
      <c r="R31" s="46">
        <f>+D31+E31+F31+G31+H31+I31+J31+K31</f>
        <v>547.0563416</v>
      </c>
    </row>
    <row r="32" spans="2:18" s="3" customFormat="1" ht="18" customHeight="1" thickTop="1" thickBot="1">
      <c r="B32" s="260"/>
      <c r="C32" s="32" t="s">
        <v>67</v>
      </c>
      <c r="D32" s="35">
        <f>+(D31-'Consumo Aparente 2014'!D31)/'Consumo Aparente 2014'!D31</f>
        <v>0.14750821656952601</v>
      </c>
      <c r="E32" s="35">
        <f>+(E31-'Consumo Aparente 2014'!E31)/'Consumo Aparente 2014'!E31</f>
        <v>0.27488652913726624</v>
      </c>
      <c r="F32" s="35">
        <f>+(F31-'Consumo Aparente 2014'!F31)/'Consumo Aparente 2014'!F31</f>
        <v>-2.7181225903474961E-2</v>
      </c>
      <c r="G32" s="35">
        <f>+(G31-'Consumo Aparente 2014'!G31)/'Consumo Aparente 2014'!G31</f>
        <v>3.4213541897229881E-2</v>
      </c>
      <c r="H32" s="35">
        <f>+(H31-'Consumo Aparente 2014'!H31)/'Consumo Aparente 2014'!H31</f>
        <v>1.7683429941757881E-2</v>
      </c>
      <c r="I32" s="35">
        <f>+(I31-'Consumo Aparente 2014'!I31)/'Consumo Aparente 2014'!I31</f>
        <v>-6.007794133888706E-2</v>
      </c>
      <c r="J32" s="35">
        <f>+(J31-'Consumo Aparente 2014'!J31)/'Consumo Aparente 2014'!J31</f>
        <v>2.5940539962441628E-2</v>
      </c>
      <c r="K32" s="35">
        <f>+(K31-'Consumo Aparente 2014'!K31)/'Consumo Aparente 2014'!K31</f>
        <v>9.6076452461375961E-3</v>
      </c>
      <c r="L32" s="35">
        <f>+(L31-'Consumo Aparente 2014'!L31)/'Consumo Aparente 2014'!L31</f>
        <v>-1.8032326566881328E-2</v>
      </c>
      <c r="M32" s="35">
        <f>+(M31-'Consumo Aparente 2014'!M31)/'Consumo Aparente 2014'!M31</f>
        <v>-5.7967895287683216E-2</v>
      </c>
      <c r="N32" s="35">
        <f>+(N31-'Consumo Aparente 2014'!N31)/'Consumo Aparente 2014'!N31</f>
        <v>-5.7303386710811789E-2</v>
      </c>
      <c r="O32" s="35">
        <f>+(O31-'Consumo Aparente 2014'!O31)/'Consumo Aparente 2014'!O31</f>
        <v>0.22946415127212777</v>
      </c>
      <c r="P32" s="35">
        <f>+(P31-'Consumo Aparente 2014'!P31)/'Consumo Aparente 2014'!P31</f>
        <v>3.8693175883284574E-2</v>
      </c>
      <c r="R32" s="14"/>
    </row>
    <row r="33" spans="2:21" s="3" customFormat="1" ht="18" customHeight="1" thickTop="1" thickBot="1">
      <c r="B33" s="260" t="s">
        <v>4</v>
      </c>
      <c r="C33" s="31" t="s">
        <v>65</v>
      </c>
      <c r="D33" s="34">
        <f>+'Producción Laminados 2015'!D33+'Impo 2015'!D33-'Expo 2015'!D33</f>
        <v>88.709790509999991</v>
      </c>
      <c r="E33" s="34">
        <f>+'Producción Laminados 2015'!E33+'Impo 2015'!E33-'Expo 2015'!E33</f>
        <v>51.441638259999998</v>
      </c>
      <c r="F33" s="34">
        <f>+'Producción Laminados 2015'!F33+'Impo 2015'!F33-'Expo 2015'!F33</f>
        <v>66.482674129999992</v>
      </c>
      <c r="G33" s="34">
        <f>+'Producción Laminados 2015'!G33+'Impo 2015'!G33-'Expo 2015'!G33</f>
        <v>78.787099749999982</v>
      </c>
      <c r="H33" s="34">
        <f>+'Producción Laminados 2015'!H33+'Impo 2015'!H33-'Expo 2015'!H33</f>
        <v>80.543868160000002</v>
      </c>
      <c r="I33" s="34">
        <f>+'Producción Laminados 2015'!I33+'Impo 2015'!I33-'Expo 2015'!I33</f>
        <v>73.576924860000005</v>
      </c>
      <c r="J33" s="34">
        <f>+'Producción Laminados 2015'!J33+'Impo 2015'!J33-'Expo 2015'!J33</f>
        <v>94.566910669999984</v>
      </c>
      <c r="K33" s="34">
        <f>+'Producción Laminados 2015'!K33+'Impo 2015'!K33-'Expo 2015'!K33</f>
        <v>81.392349659999994</v>
      </c>
      <c r="L33" s="34">
        <f>+'Producción Laminados 2015'!L33+'Impo 2015'!L33-'Expo 2015'!L33</f>
        <v>84.513076080000005</v>
      </c>
      <c r="M33" s="34">
        <f>+'Producción Laminados 2015'!M33+'Impo 2015'!M33-'Expo 2015'!M33</f>
        <v>99.90772063</v>
      </c>
      <c r="N33" s="34">
        <f>+'Producción Laminados 2015'!N33+'Impo 2015'!N33-'Expo 2015'!N33</f>
        <v>78.813256570000007</v>
      </c>
      <c r="O33" s="34">
        <f>+'Producción Laminados 2015'!O33+'Impo 2015'!O33-'Expo 2015'!O33</f>
        <v>75.506850299999996</v>
      </c>
      <c r="P33" s="34">
        <f>SUM(D33:O33)</f>
        <v>954.24215958000002</v>
      </c>
      <c r="R33" s="14"/>
    </row>
    <row r="34" spans="2:21" s="3" customFormat="1" ht="18" customHeight="1" thickTop="1" thickBot="1">
      <c r="B34" s="260"/>
      <c r="C34" s="29" t="s">
        <v>59</v>
      </c>
      <c r="D34" s="34">
        <f>+'Producción Laminados 2015'!D34+'Impo 2015'!D34-'Expo 2015'!D34</f>
        <v>46.949619539999965</v>
      </c>
      <c r="E34" s="34">
        <f>+'Producción Laminados 2015'!E34+'Impo 2015'!E34-'Expo 2015'!E34</f>
        <v>70.623653460000014</v>
      </c>
      <c r="F34" s="34">
        <f>+'Producción Laminados 2015'!F34+'Impo 2015'!F34-'Expo 2015'!F34</f>
        <v>102.36312912999998</v>
      </c>
      <c r="G34" s="34">
        <f>+'Producción Laminados 2015'!G34+'Impo 2015'!G34-'Expo 2015'!G34</f>
        <v>44.421357000000015</v>
      </c>
      <c r="H34" s="34">
        <f>+'Producción Laminados 2015'!H34+'Impo 2015'!H34-'Expo 2015'!H34</f>
        <v>86.597779469999963</v>
      </c>
      <c r="I34" s="34">
        <f>+'Producción Laminados 2015'!I34+'Impo 2015'!I34-'Expo 2015'!I34</f>
        <v>43.796720670000006</v>
      </c>
      <c r="J34" s="34">
        <f>+'Producción Laminados 2015'!J34+'Impo 2015'!J34-'Expo 2015'!J34</f>
        <v>56.337714299999959</v>
      </c>
      <c r="K34" s="34">
        <f>+'Producción Laminados 2015'!K34+'Impo 2015'!K34-'Expo 2015'!K34</f>
        <v>55.110100919999994</v>
      </c>
      <c r="L34" s="34">
        <f>+'Producción Laminados 2015'!L34+'Impo 2015'!L34-'Expo 2015'!L34</f>
        <v>53.65361260000001</v>
      </c>
      <c r="M34" s="34">
        <f>+'Producción Laminados 2015'!M34+'Impo 2015'!M34-'Expo 2015'!M34</f>
        <v>39.820882559999966</v>
      </c>
      <c r="N34" s="34">
        <f>+'Producción Laminados 2015'!N34+'Impo 2015'!N34-'Expo 2015'!N34</f>
        <v>51.982157790000016</v>
      </c>
      <c r="O34" s="34">
        <f>+'Producción Laminados 2015'!O34+'Impo 2015'!O34-'Expo 2015'!O34</f>
        <v>46.823962780000016</v>
      </c>
      <c r="P34" s="34">
        <f>SUM(D34:O34)</f>
        <v>698.48069021999981</v>
      </c>
      <c r="R34" s="14"/>
    </row>
    <row r="35" spans="2:21" s="3" customFormat="1" ht="18" customHeight="1" thickTop="1" thickBot="1">
      <c r="B35" s="260"/>
      <c r="C35" s="29" t="s">
        <v>60</v>
      </c>
      <c r="D35" s="34">
        <f>+'Producción Laminados 2015'!D35+'Impo 2015'!D35-'Expo 2015'!D35</f>
        <v>12.401599440000004</v>
      </c>
      <c r="E35" s="34">
        <f>+'Producción Laminados 2015'!E35+'Impo 2015'!E35-'Expo 2015'!E35</f>
        <v>0.99118676000000061</v>
      </c>
      <c r="F35" s="34">
        <f>+'Producción Laminados 2015'!F35+'Impo 2015'!F35-'Expo 2015'!F35</f>
        <v>7.5685715799999995</v>
      </c>
      <c r="G35" s="34">
        <f>+'Producción Laminados 2015'!G35+'Impo 2015'!G35-'Expo 2015'!G35</f>
        <v>8.5936055500000705</v>
      </c>
      <c r="H35" s="34">
        <f>+'Producción Laminados 2015'!H35+'Impo 2015'!H35-'Expo 2015'!H35</f>
        <v>1.2879467800000004</v>
      </c>
      <c r="I35" s="34">
        <f>+'Producción Laminados 2015'!I35+'Impo 2015'!I35-'Expo 2015'!I35</f>
        <v>1.3124486700000015</v>
      </c>
      <c r="J35" s="34">
        <f>+'Producción Laminados 2015'!J35+'Impo 2015'!J35-'Expo 2015'!J35</f>
        <v>2.00135884</v>
      </c>
      <c r="K35" s="34">
        <f>+'Producción Laminados 2015'!K35+'Impo 2015'!K35-'Expo 2015'!K35</f>
        <v>3.0358711900000013</v>
      </c>
      <c r="L35" s="34">
        <f>+'Producción Laminados 2015'!L35+'Impo 2015'!L35-'Expo 2015'!L35</f>
        <v>3.1122572799999992</v>
      </c>
      <c r="M35" s="34">
        <f>+'Producción Laminados 2015'!M35+'Impo 2015'!M35-'Expo 2015'!M35</f>
        <v>3.047227170000002</v>
      </c>
      <c r="N35" s="34">
        <f>+'Producción Laminados 2015'!N35+'Impo 2015'!N35-'Expo 2015'!N35</f>
        <v>3.5758068600000001</v>
      </c>
      <c r="O35" s="34">
        <f>+'Producción Laminados 2015'!O35+'Impo 2015'!O35-'Expo 2015'!O35</f>
        <v>0.95127152999999975</v>
      </c>
      <c r="P35" s="34">
        <f>SUM(D35:O35)</f>
        <v>47.879151650000082</v>
      </c>
      <c r="R35" s="14"/>
    </row>
    <row r="36" spans="2:21" s="3" customFormat="1" ht="18" customHeight="1" thickTop="1" thickBot="1">
      <c r="B36" s="260"/>
      <c r="C36" s="29" t="s">
        <v>139</v>
      </c>
      <c r="D36" s="34">
        <f t="shared" ref="D36:P36" si="5">+D33+D34+D35</f>
        <v>148.06100948999998</v>
      </c>
      <c r="E36" s="34">
        <f t="shared" si="5"/>
        <v>123.05647848000001</v>
      </c>
      <c r="F36" s="34">
        <f t="shared" si="5"/>
        <v>176.41437483999997</v>
      </c>
      <c r="G36" s="34">
        <f t="shared" si="5"/>
        <v>131.80206230000007</v>
      </c>
      <c r="H36" s="34">
        <f t="shared" si="5"/>
        <v>168.42959440999996</v>
      </c>
      <c r="I36" s="52">
        <f t="shared" si="5"/>
        <v>118.6860942</v>
      </c>
      <c r="J36" s="52">
        <f t="shared" si="5"/>
        <v>152.90598380999992</v>
      </c>
      <c r="K36" s="52">
        <f t="shared" si="5"/>
        <v>139.53832176999998</v>
      </c>
      <c r="L36" s="52">
        <f t="shared" si="5"/>
        <v>141.27894596000002</v>
      </c>
      <c r="M36" s="52">
        <f t="shared" si="5"/>
        <v>142.77583035999999</v>
      </c>
      <c r="N36" s="52">
        <f t="shared" si="5"/>
        <v>134.37122122000002</v>
      </c>
      <c r="O36" s="52">
        <f t="shared" si="5"/>
        <v>123.28208461000001</v>
      </c>
      <c r="P36" s="34">
        <f t="shared" si="5"/>
        <v>1700.60200145</v>
      </c>
      <c r="R36" s="46">
        <f>+D36+E36+F36+G36+H36+I36+J36+K36</f>
        <v>1158.8939192999999</v>
      </c>
    </row>
    <row r="37" spans="2:21" s="3" customFormat="1" ht="18" customHeight="1" thickTop="1" thickBot="1">
      <c r="B37" s="260"/>
      <c r="C37" s="32" t="s">
        <v>67</v>
      </c>
      <c r="D37" s="35">
        <f>+(D36-'Consumo Aparente 2014'!D36)/'Consumo Aparente 2014'!D36</f>
        <v>-0.12605460675706362</v>
      </c>
      <c r="E37" s="35">
        <f>+(E36-'Consumo Aparente 2014'!E36)/'Consumo Aparente 2014'!E36</f>
        <v>0.37529671631039002</v>
      </c>
      <c r="F37" s="35">
        <f>+(F36-'Consumo Aparente 2014'!F36)/'Consumo Aparente 2014'!F36</f>
        <v>0.15163643470645774</v>
      </c>
      <c r="G37" s="35">
        <f>+(G36-'Consumo Aparente 2014'!G36)/'Consumo Aparente 2014'!G36</f>
        <v>-8.0930068912476907E-2</v>
      </c>
      <c r="H37" s="35">
        <f>+(H36-'Consumo Aparente 2014'!H36)/'Consumo Aparente 2014'!H36</f>
        <v>0.23861242187808732</v>
      </c>
      <c r="I37" s="35">
        <f>+(I36-'Consumo Aparente 2014'!I36)/'Consumo Aparente 2014'!I36</f>
        <v>-0.11912826874071578</v>
      </c>
      <c r="J37" s="35">
        <f>+(J36-'Consumo Aparente 2014'!J36)/'Consumo Aparente 2014'!J36</f>
        <v>-4.2170544758197669E-3</v>
      </c>
      <c r="K37" s="35">
        <f>+(K36-'Consumo Aparente 2014'!K36)/'Consumo Aparente 2014'!K36</f>
        <v>8.2848736845344953E-2</v>
      </c>
      <c r="L37" s="35">
        <f>+(L36-'Consumo Aparente 2014'!L36)/'Consumo Aparente 2014'!L36</f>
        <v>0.24117278550708365</v>
      </c>
      <c r="M37" s="35">
        <f>+(M36-'Consumo Aparente 2014'!M36)/'Consumo Aparente 2014'!M36</f>
        <v>-0.21054350647514614</v>
      </c>
      <c r="N37" s="35">
        <f>+(N36-'Consumo Aparente 2014'!N36)/'Consumo Aparente 2014'!N36</f>
        <v>-3.6017850049555322E-2</v>
      </c>
      <c r="O37" s="35">
        <f>+(O36-'Consumo Aparente 2014'!O36)/'Consumo Aparente 2014'!O36</f>
        <v>8.8456488152705889E-2</v>
      </c>
      <c r="P37" s="35">
        <f>+(P36-'Consumo Aparente 2014'!P36)/'Consumo Aparente 2014'!P36</f>
        <v>2.6959819737829963E-2</v>
      </c>
      <c r="R37" s="14"/>
    </row>
    <row r="38" spans="2:21" s="3" customFormat="1" ht="18" customHeight="1" thickTop="1" thickBot="1">
      <c r="B38" s="260" t="s">
        <v>10</v>
      </c>
      <c r="C38" s="31" t="s">
        <v>65</v>
      </c>
      <c r="D38" s="34">
        <f>+'Producción Laminados 2015'!D38+'Impo 2015'!D38-'Expo 2015'!D38</f>
        <v>12.890695550000004</v>
      </c>
      <c r="E38" s="34">
        <f>+'Producción Laminados 2015'!E38+'Impo 2015'!E38-'Expo 2015'!E38</f>
        <v>22.48487716</v>
      </c>
      <c r="F38" s="34">
        <f>+'Producción Laminados 2015'!F38+'Impo 2015'!F38-'Expo 2015'!F38</f>
        <v>14.598005169999997</v>
      </c>
      <c r="G38" s="34">
        <f>+'Producción Laminados 2015'!G38+'Impo 2015'!G38-'Expo 2015'!G38</f>
        <v>12.776977759999998</v>
      </c>
      <c r="H38" s="34">
        <f>+'Producción Laminados 2015'!H38+'Impo 2015'!H38-'Expo 2015'!H38</f>
        <v>11.513373130000002</v>
      </c>
      <c r="I38" s="34">
        <f>+'Producción Laminados 2015'!I38+'Impo 2015'!I38-'Expo 2015'!I38</f>
        <v>17.878382479999999</v>
      </c>
      <c r="J38" s="34">
        <f>+'Producción Laminados 2015'!J38+'Impo 2015'!J38-'Expo 2015'!J38</f>
        <v>9.5277689099999989</v>
      </c>
      <c r="K38" s="34">
        <f>+'Producción Laminados 2015'!K38+'Impo 2015'!K38-'Expo 2015'!K38</f>
        <v>12.26141874</v>
      </c>
      <c r="L38" s="34">
        <f>+'Producción Laminados 2015'!L38+'Impo 2015'!L38-'Expo 2015'!L38</f>
        <v>15.526972320000002</v>
      </c>
      <c r="M38" s="34">
        <f>+'Producción Laminados 2015'!M38+'Impo 2015'!M38-'Expo 2015'!M38</f>
        <v>11.260939050000001</v>
      </c>
      <c r="N38" s="34">
        <f>+'Producción Laminados 2015'!N38+'Impo 2015'!N38-'Expo 2015'!N38</f>
        <v>4.6409520300000002</v>
      </c>
      <c r="O38" s="34">
        <f>+'Producción Laminados 2015'!O38+'Impo 2015'!O38-'Expo 2015'!O38</f>
        <v>7.5717350799999998</v>
      </c>
      <c r="P38" s="34">
        <f>SUM(D38:O38)</f>
        <v>152.93209737999999</v>
      </c>
      <c r="R38" s="14"/>
    </row>
    <row r="39" spans="2:21" s="3" customFormat="1" ht="18" customHeight="1" thickTop="1" thickBot="1">
      <c r="B39" s="260"/>
      <c r="C39" s="29" t="s">
        <v>59</v>
      </c>
      <c r="D39" s="34">
        <f>+'Producción Laminados 2015'!D39+'Impo 2015'!D39-'Expo 2015'!D39</f>
        <v>9.9050885600000029</v>
      </c>
      <c r="E39" s="34">
        <f>+'Producción Laminados 2015'!E39+'Impo 2015'!E39-'Expo 2015'!E39</f>
        <v>17.040256409999998</v>
      </c>
      <c r="F39" s="34">
        <f>+'Producción Laminados 2015'!F39+'Impo 2015'!F39-'Expo 2015'!F39</f>
        <v>12.766661799999994</v>
      </c>
      <c r="G39" s="34">
        <f>+'Producción Laminados 2015'!G39+'Impo 2015'!G39-'Expo 2015'!G39</f>
        <v>14.915189909999997</v>
      </c>
      <c r="H39" s="34">
        <f>+'Producción Laminados 2015'!H39+'Impo 2015'!H39-'Expo 2015'!H39</f>
        <v>13.131986049999993</v>
      </c>
      <c r="I39" s="34">
        <f>+'Producción Laminados 2015'!I39+'Impo 2015'!I39-'Expo 2015'!I39</f>
        <v>15.467535380000008</v>
      </c>
      <c r="J39" s="34">
        <f>+'Producción Laminados 2015'!J39+'Impo 2015'!J39-'Expo 2015'!J39</f>
        <v>11.411151909999999</v>
      </c>
      <c r="K39" s="34">
        <f>+'Producción Laminados 2015'!K39+'Impo 2015'!K39-'Expo 2015'!K39</f>
        <v>12.704758370000016</v>
      </c>
      <c r="L39" s="34">
        <f>+'Producción Laminados 2015'!L39+'Impo 2015'!L39-'Expo 2015'!L39</f>
        <v>19.853038339999994</v>
      </c>
      <c r="M39" s="34">
        <f>+'Producción Laminados 2015'!M39+'Impo 2015'!M39-'Expo 2015'!M39</f>
        <v>14.870931530000011</v>
      </c>
      <c r="N39" s="34">
        <f>+'Producción Laminados 2015'!N39+'Impo 2015'!N39-'Expo 2015'!N39</f>
        <v>9.4787670999999989</v>
      </c>
      <c r="O39" s="34">
        <f>+'Producción Laminados 2015'!O39+'Impo 2015'!O39-'Expo 2015'!O39</f>
        <v>11.417469240000006</v>
      </c>
      <c r="P39" s="34">
        <f>SUM(D39:O39)</f>
        <v>162.96283460000001</v>
      </c>
      <c r="R39" s="14"/>
    </row>
    <row r="40" spans="2:21" s="3" customFormat="1" ht="18" customHeight="1" thickTop="1" thickBot="1">
      <c r="B40" s="260"/>
      <c r="C40" s="29" t="s">
        <v>60</v>
      </c>
      <c r="D40" s="34">
        <f>+'Producción Laminados 2015'!D40+'Impo 2015'!D40-'Expo 2015'!D40</f>
        <v>2.726070009999999</v>
      </c>
      <c r="E40" s="34">
        <f>+'Producción Laminados 2015'!E40+'Impo 2015'!E40-'Expo 2015'!E40</f>
        <v>0.45635681999999994</v>
      </c>
      <c r="F40" s="34">
        <f>+'Producción Laminados 2015'!F40+'Impo 2015'!F40-'Expo 2015'!F40</f>
        <v>0.76196485999999997</v>
      </c>
      <c r="G40" s="34">
        <f>+'Producción Laminados 2015'!G40+'Impo 2015'!G40-'Expo 2015'!G40</f>
        <v>0.25688489000000003</v>
      </c>
      <c r="H40" s="34">
        <f>+'Producción Laminados 2015'!H40+'Impo 2015'!H40-'Expo 2015'!H40</f>
        <v>1.0011797600000001</v>
      </c>
      <c r="I40" s="34">
        <f>+'Producción Laminados 2015'!I40+'Impo 2015'!I40-'Expo 2015'!I40</f>
        <v>0.44710600000000011</v>
      </c>
      <c r="J40" s="34">
        <f>+'Producción Laminados 2015'!J40+'Impo 2015'!J40-'Expo 2015'!J40</f>
        <v>0.53599738999999991</v>
      </c>
      <c r="K40" s="34">
        <f>+'Producción Laminados 2015'!K40+'Impo 2015'!K40-'Expo 2015'!K40</f>
        <v>0.33554445999999999</v>
      </c>
      <c r="L40" s="34">
        <f>+'Producción Laminados 2015'!L40+'Impo 2015'!L40-'Expo 2015'!L40</f>
        <v>0.68054402999999997</v>
      </c>
      <c r="M40" s="34">
        <f>+'Producción Laminados 2015'!M40+'Impo 2015'!M40-'Expo 2015'!M40</f>
        <v>0.68803040999999998</v>
      </c>
      <c r="N40" s="34">
        <f>+'Producción Laminados 2015'!N40+'Impo 2015'!N40-'Expo 2015'!N40</f>
        <v>0.12109472000000002</v>
      </c>
      <c r="O40" s="34">
        <f>+'Producción Laminados 2015'!O40+'Impo 2015'!O40-'Expo 2015'!O40</f>
        <v>0.31745022000000001</v>
      </c>
      <c r="P40" s="34">
        <f>SUM(D40:O40)</f>
        <v>8.3282235699999987</v>
      </c>
      <c r="R40" s="14"/>
    </row>
    <row r="41" spans="2:21" s="3" customFormat="1" ht="18" customHeight="1" thickTop="1" thickBot="1">
      <c r="B41" s="260"/>
      <c r="C41" s="29" t="s">
        <v>139</v>
      </c>
      <c r="D41" s="34">
        <f t="shared" ref="D41:P41" si="6">+D38+D39+D40</f>
        <v>25.521854120000008</v>
      </c>
      <c r="E41" s="34">
        <f t="shared" si="6"/>
        <v>39.981490389999998</v>
      </c>
      <c r="F41" s="34">
        <f t="shared" si="6"/>
        <v>28.12663182999999</v>
      </c>
      <c r="G41" s="34">
        <f t="shared" si="6"/>
        <v>27.949052559999995</v>
      </c>
      <c r="H41" s="34">
        <f t="shared" si="6"/>
        <v>25.646538939999992</v>
      </c>
      <c r="I41" s="52">
        <f t="shared" si="6"/>
        <v>33.793023860000005</v>
      </c>
      <c r="J41" s="52">
        <f t="shared" si="6"/>
        <v>21.474918209999998</v>
      </c>
      <c r="K41" s="52">
        <f t="shared" si="6"/>
        <v>25.301721570000019</v>
      </c>
      <c r="L41" s="52">
        <f t="shared" si="6"/>
        <v>36.060554689999996</v>
      </c>
      <c r="M41" s="52">
        <f t="shared" si="6"/>
        <v>26.819900990000011</v>
      </c>
      <c r="N41" s="52">
        <f t="shared" si="6"/>
        <v>14.24081385</v>
      </c>
      <c r="O41" s="52">
        <f t="shared" si="6"/>
        <v>19.306654540000007</v>
      </c>
      <c r="P41" s="34">
        <f t="shared" si="6"/>
        <v>324.22315555</v>
      </c>
      <c r="R41" s="46">
        <f>+D41+E41+F41+G41+H41+I41+J41+K41</f>
        <v>227.79523148000001</v>
      </c>
    </row>
    <row r="42" spans="2:21" s="3" customFormat="1" ht="18" customHeight="1" thickTop="1" thickBot="1">
      <c r="B42" s="260"/>
      <c r="C42" s="32" t="s">
        <v>67</v>
      </c>
      <c r="D42" s="35">
        <f>+(D41-'Consumo Aparente 2014'!D41)/'Consumo Aparente 2014'!D41</f>
        <v>-0.13000468678651061</v>
      </c>
      <c r="E42" s="35">
        <f>+(E41-'Consumo Aparente 2014'!E41)/'Consumo Aparente 2014'!E41</f>
        <v>0.38709046502384953</v>
      </c>
      <c r="F42" s="35">
        <f>+(F41-'Consumo Aparente 2014'!F41)/'Consumo Aparente 2014'!F41</f>
        <v>-0.28667015977739274</v>
      </c>
      <c r="G42" s="35">
        <f>+(G41-'Consumo Aparente 2014'!G41)/'Consumo Aparente 2014'!G41</f>
        <v>0.50642517371405238</v>
      </c>
      <c r="H42" s="35">
        <f>+(H41-'Consumo Aparente 2014'!H41)/'Consumo Aparente 2014'!H41</f>
        <v>0.11513724359526274</v>
      </c>
      <c r="I42" s="35">
        <f>+(I41-'Consumo Aparente 2014'!I41)/'Consumo Aparente 2014'!I41</f>
        <v>6.8117620327613038E-2</v>
      </c>
      <c r="J42" s="35">
        <f>+(J41-'Consumo Aparente 2014'!J41)/'Consumo Aparente 2014'!J41</f>
        <v>-0.38336850663495575</v>
      </c>
      <c r="K42" s="35">
        <f>+(K41-'Consumo Aparente 2014'!K41)/'Consumo Aparente 2014'!K41</f>
        <v>1.0339528383848891</v>
      </c>
      <c r="L42" s="35">
        <f>+(L41-'Consumo Aparente 2014'!L41)/'Consumo Aparente 2014'!L41</f>
        <v>0.3704703768111533</v>
      </c>
      <c r="M42" s="35">
        <f>+(M41-'Consumo Aparente 2014'!M41)/'Consumo Aparente 2014'!M41</f>
        <v>-9.7029868201086916E-2</v>
      </c>
      <c r="N42" s="35">
        <f>+(N41-'Consumo Aparente 2014'!N41)/'Consumo Aparente 2014'!N41</f>
        <v>0.13273913054250996</v>
      </c>
      <c r="O42" s="35">
        <f>+(O41-'Consumo Aparente 2014'!O41)/'Consumo Aparente 2014'!O41</f>
        <v>0.2074552705585759</v>
      </c>
      <c r="P42" s="35">
        <f>+(P41-'Consumo Aparente 2014'!P41)/'Consumo Aparente 2014'!P41</f>
        <v>7.138284429420258E-2</v>
      </c>
      <c r="R42" s="14"/>
    </row>
    <row r="43" spans="2:21" s="3" customFormat="1" ht="18" customHeight="1" thickTop="1" thickBot="1">
      <c r="B43" s="260" t="s">
        <v>11</v>
      </c>
      <c r="C43" s="31" t="s">
        <v>65</v>
      </c>
      <c r="D43" s="34">
        <f>+'Producción Laminados 2015'!D43+'Impo 2015'!D43-'Expo 2015'!D43</f>
        <v>48.709646000000006</v>
      </c>
      <c r="E43" s="34">
        <f>+'Producción Laminados 2015'!E43+'Impo 2015'!E43-'Expo 2015'!E43</f>
        <v>59.512145000000004</v>
      </c>
      <c r="F43" s="34">
        <f>+'Producción Laminados 2015'!F43+'Impo 2015'!F43-'Expo 2015'!F43</f>
        <v>40.460095200000005</v>
      </c>
      <c r="G43" s="34">
        <f>+'Producción Laminados 2015'!G43+'Impo 2015'!G43-'Expo 2015'!G43</f>
        <v>45.055492300000004</v>
      </c>
      <c r="H43" s="34">
        <f>+'Producción Laminados 2015'!H43+'Impo 2015'!H43-'Expo 2015'!H43</f>
        <v>51.594581700000006</v>
      </c>
      <c r="I43" s="34">
        <f>+'Producción Laminados 2015'!I43+'Impo 2015'!I43-'Expo 2015'!I43</f>
        <v>51.547392000000002</v>
      </c>
      <c r="J43" s="34">
        <f>+'Producción Laminados 2015'!J43+'Impo 2015'!J43-'Expo 2015'!J43</f>
        <v>56.270006600000002</v>
      </c>
      <c r="K43" s="34">
        <f>+'Producción Laminados 2015'!K43+'Impo 2015'!K43-'Expo 2015'!K43</f>
        <v>69.92291010000001</v>
      </c>
      <c r="L43" s="34">
        <f>+'Producción Laminados 2015'!L43+'Impo 2015'!L43-'Expo 2015'!L43</f>
        <v>88.361669899999995</v>
      </c>
      <c r="M43" s="34">
        <f>+'Producción Laminados 2015'!M43+'Impo 2015'!M43-'Expo 2015'!M43</f>
        <v>67.743594300000012</v>
      </c>
      <c r="N43" s="34">
        <f>+'Producción Laminados 2015'!N43+'Impo 2015'!N43-'Expo 2015'!N43</f>
        <v>61.67484180000001</v>
      </c>
      <c r="O43" s="34">
        <f>+'Producción Laminados 2015'!O43+'Impo 2015'!O43-'Expo 2015'!O43</f>
        <v>74.436370699999998</v>
      </c>
      <c r="P43" s="34">
        <f>SUM(D43:O43)</f>
        <v>715.28874559999997</v>
      </c>
      <c r="R43" s="14"/>
    </row>
    <row r="44" spans="2:21" s="3" customFormat="1" ht="18" customHeight="1" thickTop="1" thickBot="1">
      <c r="B44" s="260"/>
      <c r="C44" s="29" t="s">
        <v>59</v>
      </c>
      <c r="D44" s="34">
        <f>+'Producción Laminados 2015'!D44+'Impo 2015'!D44-'Expo 2015'!D44</f>
        <v>8.9539530000000003</v>
      </c>
      <c r="E44" s="34">
        <f>+'Producción Laminados 2015'!E44+'Impo 2015'!E44-'Expo 2015'!E44</f>
        <v>33.999805000000002</v>
      </c>
      <c r="F44" s="34">
        <f>+'Producción Laminados 2015'!F44+'Impo 2015'!F44-'Expo 2015'!F44</f>
        <v>39.378050000000002</v>
      </c>
      <c r="G44" s="34">
        <f>+'Producción Laminados 2015'!G44+'Impo 2015'!G44-'Expo 2015'!G44</f>
        <v>26.315897999999997</v>
      </c>
      <c r="H44" s="34">
        <f>+'Producción Laminados 2015'!H44+'Impo 2015'!H44-'Expo 2015'!H44</f>
        <v>24.453870000000002</v>
      </c>
      <c r="I44" s="34">
        <f>+'Producción Laminados 2015'!I44+'Impo 2015'!I44-'Expo 2015'!I44</f>
        <v>25.850197000000001</v>
      </c>
      <c r="J44" s="34">
        <f>+'Producción Laminados 2015'!J44+'Impo 2015'!J44-'Expo 2015'!J44</f>
        <v>34.368876</v>
      </c>
      <c r="K44" s="34">
        <f>+'Producción Laminados 2015'!K44+'Impo 2015'!K44-'Expo 2015'!K44</f>
        <v>25.737794000000001</v>
      </c>
      <c r="L44" s="34">
        <f>+'Producción Laminados 2015'!L44+'Impo 2015'!L44-'Expo 2015'!L44</f>
        <v>55.793239</v>
      </c>
      <c r="M44" s="34">
        <f>+'Producción Laminados 2015'!M44+'Impo 2015'!M44-'Expo 2015'!M44</f>
        <v>28.839415000000002</v>
      </c>
      <c r="N44" s="34">
        <f>+'Producción Laminados 2015'!N44+'Impo 2015'!N44-'Expo 2015'!N44</f>
        <v>16.794681999999998</v>
      </c>
      <c r="O44" s="34">
        <f>+'Producción Laminados 2015'!O44+'Impo 2015'!O44-'Expo 2015'!O44</f>
        <v>25.038226000000002</v>
      </c>
      <c r="P44" s="34">
        <f>SUM(D44:O44)</f>
        <v>345.52400500000005</v>
      </c>
      <c r="R44" s="14"/>
    </row>
    <row r="45" spans="2:21" s="3" customFormat="1" ht="18" customHeight="1" thickTop="1" thickBot="1">
      <c r="B45" s="260"/>
      <c r="C45" s="29" t="s">
        <v>60</v>
      </c>
      <c r="D45" s="34">
        <f>+'Producción Laminados 2015'!D45+'Impo 2015'!D45-'Expo 2015'!D45</f>
        <v>-0.1145179999999999</v>
      </c>
      <c r="E45" s="34">
        <f>+'Producción Laminados 2015'!E45+'Impo 2015'!E45-'Expo 2015'!E45</f>
        <v>-5.5348999999999982E-2</v>
      </c>
      <c r="F45" s="34">
        <f>+'Producción Laminados 2015'!F45+'Impo 2015'!F45-'Expo 2015'!F45</f>
        <v>0.31540799999999991</v>
      </c>
      <c r="G45" s="34">
        <f>+'Producción Laminados 2015'!G45+'Impo 2015'!G45-'Expo 2015'!G45</f>
        <v>-1.09745</v>
      </c>
      <c r="H45" s="34">
        <f>+'Producción Laminados 2015'!H45+'Impo 2015'!H45-'Expo 2015'!H45</f>
        <v>-0.49228800000000006</v>
      </c>
      <c r="I45" s="34">
        <f>+'Producción Laminados 2015'!I45+'Impo 2015'!I45-'Expo 2015'!I45</f>
        <v>-0.34293600000000002</v>
      </c>
      <c r="J45" s="34">
        <f>+'Producción Laminados 2015'!J45+'Impo 2015'!J45-'Expo 2015'!J45</f>
        <v>-0.38942099999999991</v>
      </c>
      <c r="K45" s="34">
        <f>+'Producción Laminados 2015'!K45+'Impo 2015'!K45-'Expo 2015'!K45</f>
        <v>-0.98281299999999994</v>
      </c>
      <c r="L45" s="34">
        <f>+'Producción Laminados 2015'!L45+'Impo 2015'!L45-'Expo 2015'!L45</f>
        <v>-0.20388300000000004</v>
      </c>
      <c r="M45" s="34">
        <f>+'Producción Laminados 2015'!M45+'Impo 2015'!M45-'Expo 2015'!M45</f>
        <v>-0.10695400000000002</v>
      </c>
      <c r="N45" s="34">
        <f>+'Producción Laminados 2015'!N45+'Impo 2015'!N45-'Expo 2015'!N45</f>
        <v>0.804952</v>
      </c>
      <c r="O45" s="34">
        <f>+'Producción Laminados 2015'!O45+'Impo 2015'!O45-'Expo 2015'!O45</f>
        <v>-0.16646799999999998</v>
      </c>
      <c r="P45" s="34">
        <f>SUM(D45:O45)</f>
        <v>-2.8317199999999998</v>
      </c>
      <c r="R45" s="14"/>
    </row>
    <row r="46" spans="2:21" s="3" customFormat="1" ht="18" customHeight="1" thickTop="1" thickBot="1">
      <c r="B46" s="260"/>
      <c r="C46" s="29" t="s">
        <v>139</v>
      </c>
      <c r="D46" s="34">
        <f t="shared" ref="D46:P46" si="7">+D43+D44+D45</f>
        <v>57.549081000000008</v>
      </c>
      <c r="E46" s="34">
        <f t="shared" si="7"/>
        <v>93.456601000000006</v>
      </c>
      <c r="F46" s="34">
        <f t="shared" si="7"/>
        <v>80.153553200000019</v>
      </c>
      <c r="G46" s="34">
        <f t="shared" si="7"/>
        <v>70.273940300000007</v>
      </c>
      <c r="H46" s="52">
        <f t="shared" si="7"/>
        <v>75.556163700000013</v>
      </c>
      <c r="I46" s="52">
        <f t="shared" si="7"/>
        <v>77.054653000000016</v>
      </c>
      <c r="J46" s="52">
        <f t="shared" si="7"/>
        <v>90.249461600000004</v>
      </c>
      <c r="K46" s="52">
        <f t="shared" si="7"/>
        <v>94.677891100000011</v>
      </c>
      <c r="L46" s="52">
        <f t="shared" si="7"/>
        <v>143.95102590000002</v>
      </c>
      <c r="M46" s="52">
        <f t="shared" si="7"/>
        <v>96.476055300000013</v>
      </c>
      <c r="N46" s="52">
        <f t="shared" si="7"/>
        <v>79.274475800000005</v>
      </c>
      <c r="O46" s="52">
        <f t="shared" si="7"/>
        <v>99.308128700000012</v>
      </c>
      <c r="P46" s="34">
        <f t="shared" si="7"/>
        <v>1057.9810306000002</v>
      </c>
      <c r="R46" s="46">
        <f>+D46+E46+F46+G46+H46+I46+J46+K46</f>
        <v>638.97134490000008</v>
      </c>
    </row>
    <row r="47" spans="2:21" s="3" customFormat="1" ht="18" customHeight="1" thickTop="1" thickBot="1">
      <c r="B47" s="260"/>
      <c r="C47" s="32" t="s">
        <v>67</v>
      </c>
      <c r="D47" s="35">
        <f>+(D46-'Consumo Aparente 2014'!D46)/'Consumo Aparente 2014'!D46</f>
        <v>-0.2952813341841522</v>
      </c>
      <c r="E47" s="35">
        <f>+(E46-'Consumo Aparente 2014'!E46)/'Consumo Aparente 2014'!E46</f>
        <v>0.66054843836583543</v>
      </c>
      <c r="F47" s="35">
        <f>+(F46-'Consumo Aparente 2014'!F46)/'Consumo Aparente 2014'!F46</f>
        <v>3.7066989383984311E-2</v>
      </c>
      <c r="G47" s="35">
        <f>+(G46-'Consumo Aparente 2014'!G46)/'Consumo Aparente 2014'!G46</f>
        <v>-6.776739692986733E-2</v>
      </c>
      <c r="H47" s="35">
        <f>+(H46-'Consumo Aparente 2014'!H46)/'Consumo Aparente 2014'!H46</f>
        <v>-9.4562063414240144E-2</v>
      </c>
      <c r="I47" s="35">
        <f>+(I46-'Consumo Aparente 2014'!I46)/'Consumo Aparente 2014'!I46</f>
        <v>-0.14472956855405456</v>
      </c>
      <c r="J47" s="35">
        <f>+(J46-'Consumo Aparente 2014'!J46)/'Consumo Aparente 2014'!J46</f>
        <v>-0.22584532640464336</v>
      </c>
      <c r="K47" s="35">
        <f>+(K46-'Consumo Aparente 2014'!K46)/'Consumo Aparente 2014'!K46</f>
        <v>0.70877669131916532</v>
      </c>
      <c r="L47" s="35">
        <f>+(L46-'Consumo Aparente 2014'!L46)/'Consumo Aparente 2014'!L46</f>
        <v>0.40742306788979227</v>
      </c>
      <c r="M47" s="35">
        <f>+(M46-'Consumo Aparente 2014'!M46)/'Consumo Aparente 2014'!M46</f>
        <v>-7.7039471004896193E-2</v>
      </c>
      <c r="N47" s="35">
        <f>+(N46-'Consumo Aparente 2014'!N46)/'Consumo Aparente 2014'!N46</f>
        <v>-1.7390720714524901E-3</v>
      </c>
      <c r="O47" s="35">
        <f>+(O46-'Consumo Aparente 2014'!O46)/'Consumo Aparente 2014'!O46</f>
        <v>-5.3242822175497577E-2</v>
      </c>
      <c r="P47" s="35">
        <f>+(P46-'Consumo Aparente 2014'!P46)/'Consumo Aparente 2014'!P46</f>
        <v>2.9911493192844554E-2</v>
      </c>
      <c r="R47" s="14"/>
    </row>
    <row r="48" spans="2:21" ht="18" customHeight="1" thickTop="1" thickBot="1">
      <c r="B48" s="260" t="s">
        <v>86</v>
      </c>
      <c r="C48" s="31" t="s">
        <v>65</v>
      </c>
      <c r="D48" s="34">
        <f>'Impo 2015'!D48-'Expo 2015'!D48</f>
        <v>2.1306831399999986</v>
      </c>
      <c r="E48" s="34">
        <f>'Impo 2015'!E48-'Expo 2015'!E48</f>
        <v>5.648538170000001</v>
      </c>
      <c r="F48" s="34">
        <f>'Impo 2015'!F48-'Expo 2015'!F48</f>
        <v>1.4332092300000001</v>
      </c>
      <c r="G48" s="34">
        <f>'Impo 2015'!G48-'Expo 2015'!G48</f>
        <v>0.69302210000000031</v>
      </c>
      <c r="H48" s="34">
        <f>'Impo 2015'!H48-'Expo 2015'!H48</f>
        <v>6.8820573599999992</v>
      </c>
      <c r="I48" s="34">
        <f>'Impo 2015'!I48-'Expo 2015'!I48</f>
        <v>3.1994168399999987</v>
      </c>
      <c r="J48" s="34">
        <f>'Impo 2015'!J48-'Expo 2015'!J48</f>
        <v>8.0930598500000031</v>
      </c>
      <c r="K48" s="34">
        <f>'Impo 2015'!K48-'Expo 2015'!K48</f>
        <v>7.9506708499999998</v>
      </c>
      <c r="L48" s="34">
        <f>'Impo 2015'!L48-'Expo 2015'!L48</f>
        <v>9.0137498199999992</v>
      </c>
      <c r="M48" s="34">
        <f>'Impo 2015'!M48-'Expo 2015'!M48</f>
        <v>7.3133083100000009</v>
      </c>
      <c r="N48" s="34">
        <f>'Impo 2015'!N48-'Expo 2015'!N48</f>
        <v>3.5376607499999997</v>
      </c>
      <c r="O48" s="34">
        <f>'Impo 2015'!O48-'Expo 2015'!O48</f>
        <v>7.6245295100000003</v>
      </c>
      <c r="P48" s="34">
        <f>SUM(D48:O48)</f>
        <v>63.519905930000007</v>
      </c>
      <c r="R48" s="14"/>
      <c r="S48" s="55"/>
      <c r="T48" s="55"/>
      <c r="U48" s="55"/>
    </row>
    <row r="49" spans="2:21" ht="18" customHeight="1" thickTop="1" thickBot="1">
      <c r="B49" s="260"/>
      <c r="C49" s="29" t="s">
        <v>59</v>
      </c>
      <c r="D49" s="34">
        <f>'Impo 2015'!D49-'Expo 2015'!D49</f>
        <v>17.645612989999997</v>
      </c>
      <c r="E49" s="34">
        <f>'Impo 2015'!E49-'Expo 2015'!E49</f>
        <v>8.9105934799999993</v>
      </c>
      <c r="F49" s="34">
        <f>'Impo 2015'!F49-'Expo 2015'!F49</f>
        <v>27.770516990000004</v>
      </c>
      <c r="G49" s="34">
        <f>'Impo 2015'!G49-'Expo 2015'!G49</f>
        <v>10.045798829999999</v>
      </c>
      <c r="H49" s="34">
        <f>'Impo 2015'!H49-'Expo 2015'!H49</f>
        <v>24.624579740000001</v>
      </c>
      <c r="I49" s="34">
        <f>'Impo 2015'!I49-'Expo 2015'!I49</f>
        <v>17.19385217</v>
      </c>
      <c r="J49" s="34">
        <f>'Impo 2015'!J49-'Expo 2015'!J49</f>
        <v>14.579549770000002</v>
      </c>
      <c r="K49" s="34">
        <f>'Impo 2015'!K49-'Expo 2015'!K49</f>
        <v>37.888600270000019</v>
      </c>
      <c r="L49" s="34">
        <f>'Impo 2015'!L49-'Expo 2015'!L49</f>
        <v>9.2589602700000029</v>
      </c>
      <c r="M49" s="34">
        <f>'Impo 2015'!M49-'Expo 2015'!M49</f>
        <v>44.223001170000003</v>
      </c>
      <c r="N49" s="34">
        <f>'Impo 2015'!N49-'Expo 2015'!N49</f>
        <v>25.744899580000002</v>
      </c>
      <c r="O49" s="34">
        <f>'Impo 2015'!O49-'Expo 2015'!O49</f>
        <v>49.792035739999996</v>
      </c>
      <c r="P49" s="34">
        <f>SUM(D49:O49)</f>
        <v>287.67800100000005</v>
      </c>
      <c r="R49" s="14"/>
      <c r="S49" s="55"/>
      <c r="T49" s="55"/>
      <c r="U49" s="55"/>
    </row>
    <row r="50" spans="2:21" ht="18" customHeight="1" thickTop="1" thickBot="1">
      <c r="B50" s="260"/>
      <c r="C50" s="29" t="s">
        <v>60</v>
      </c>
      <c r="D50" s="34">
        <f>'Impo 2015'!D50-'Expo 2015'!D50</f>
        <v>6.4896499999999913E-2</v>
      </c>
      <c r="E50" s="34">
        <f>'Impo 2015'!E50-'Expo 2015'!E50</f>
        <v>0.28582010999999996</v>
      </c>
      <c r="F50" s="34">
        <f>'Impo 2015'!F50-'Expo 2015'!F50</f>
        <v>0.12440478000000005</v>
      </c>
      <c r="G50" s="34">
        <f>'Impo 2015'!G50-'Expo 2015'!G50</f>
        <v>0.30661278999999997</v>
      </c>
      <c r="H50" s="34">
        <f>'Impo 2015'!H50-'Expo 2015'!H50</f>
        <v>1.36226084</v>
      </c>
      <c r="I50" s="34">
        <f>'Impo 2015'!I50-'Expo 2015'!I50</f>
        <v>0.13411301999999997</v>
      </c>
      <c r="J50" s="34">
        <f>'Impo 2015'!J50-'Expo 2015'!J50</f>
        <v>0.12507294000000002</v>
      </c>
      <c r="K50" s="34">
        <f>'Impo 2015'!K50-'Expo 2015'!K50</f>
        <v>0.7035723599999999</v>
      </c>
      <c r="L50" s="34">
        <f>'Impo 2015'!L50-'Expo 2015'!L50</f>
        <v>-1.6134570000000015E-2</v>
      </c>
      <c r="M50" s="34">
        <f>'Impo 2015'!M50-'Expo 2015'!M50</f>
        <v>-7.2152230000000012E-2</v>
      </c>
      <c r="N50" s="34">
        <f>'Impo 2015'!N50-'Expo 2015'!N50</f>
        <v>7.9551379999999991E-2</v>
      </c>
      <c r="O50" s="34">
        <f>'Impo 2015'!O50-'Expo 2015'!O50</f>
        <v>-2.4160800000000024E-2</v>
      </c>
      <c r="P50" s="34">
        <f>SUM(D50:O50)</f>
        <v>3.0738571199999996</v>
      </c>
      <c r="R50" s="14"/>
      <c r="S50" s="55"/>
      <c r="T50" s="55"/>
      <c r="U50" s="55"/>
    </row>
    <row r="51" spans="2:21" ht="18" customHeight="1" thickTop="1" thickBot="1">
      <c r="B51" s="260"/>
      <c r="C51" s="29" t="s">
        <v>139</v>
      </c>
      <c r="D51" s="34">
        <f t="shared" ref="D51:P51" si="8">+D48+D49+D50</f>
        <v>19.841192629999995</v>
      </c>
      <c r="E51" s="34">
        <f t="shared" si="8"/>
        <v>14.844951760000001</v>
      </c>
      <c r="F51" s="34">
        <f t="shared" si="8"/>
        <v>29.328131000000003</v>
      </c>
      <c r="G51" s="34">
        <f t="shared" si="8"/>
        <v>11.045433719999998</v>
      </c>
      <c r="H51" s="34">
        <f t="shared" si="8"/>
        <v>32.868897939999997</v>
      </c>
      <c r="I51" s="52">
        <f t="shared" si="8"/>
        <v>20.527382029999998</v>
      </c>
      <c r="J51" s="52">
        <f t="shared" si="8"/>
        <v>22.797682560000002</v>
      </c>
      <c r="K51" s="52">
        <f t="shared" si="8"/>
        <v>46.542843480000023</v>
      </c>
      <c r="L51" s="52">
        <f t="shared" si="8"/>
        <v>18.256575520000005</v>
      </c>
      <c r="M51" s="52">
        <f t="shared" si="8"/>
        <v>51.464157250000007</v>
      </c>
      <c r="N51" s="52">
        <f t="shared" si="8"/>
        <v>29.362111710000004</v>
      </c>
      <c r="O51" s="52">
        <f t="shared" si="8"/>
        <v>57.392404450000001</v>
      </c>
      <c r="P51" s="34">
        <f t="shared" si="8"/>
        <v>354.27176405000006</v>
      </c>
      <c r="Q51" s="4" t="s">
        <v>17</v>
      </c>
      <c r="R51" s="46">
        <f>+D51+E51+F51+G51+H51+I51+J51+K51</f>
        <v>197.79651512000001</v>
      </c>
      <c r="S51" s="55"/>
      <c r="T51" s="55"/>
      <c r="U51" s="55"/>
    </row>
    <row r="52" spans="2:21" ht="18" customHeight="1" thickTop="1" thickBot="1">
      <c r="B52" s="260"/>
      <c r="C52" s="32" t="s">
        <v>67</v>
      </c>
      <c r="D52" s="35">
        <f>+(D51-'Consumo Aparente 2014'!D51)/'Consumo Aparente 2014'!D51</f>
        <v>1.5716650987365159</v>
      </c>
      <c r="E52" s="35">
        <f>+(E51-'Consumo Aparente 2014'!E51)/'Consumo Aparente 2014'!E51</f>
        <v>-0.22423633976899865</v>
      </c>
      <c r="F52" s="35">
        <f>+(F51-'Consumo Aparente 2014'!F51)/'Consumo Aparente 2014'!F51</f>
        <v>0.69044549860355231</v>
      </c>
      <c r="G52" s="35">
        <f>+(G51-'Consumo Aparente 2014'!G51)/'Consumo Aparente 2014'!G51</f>
        <v>0.52131269401079894</v>
      </c>
      <c r="H52" s="35">
        <f>+(H51-'Consumo Aparente 2014'!H51)/'Consumo Aparente 2014'!H51</f>
        <v>0.70617939701164456</v>
      </c>
      <c r="I52" s="35">
        <f>+(I51-'Consumo Aparente 2014'!I51)/'Consumo Aparente 2014'!I51</f>
        <v>1.1009349792140781</v>
      </c>
      <c r="J52" s="35">
        <f>+(J51-'Consumo Aparente 2014'!J51)/'Consumo Aparente 2014'!J51</f>
        <v>0.39705543419911815</v>
      </c>
      <c r="K52" s="35">
        <f>+(K51-'Consumo Aparente 2014'!K51)/'Consumo Aparente 2014'!K51</f>
        <v>1.3003273739681855</v>
      </c>
      <c r="L52" s="35">
        <f>+(L51-'Consumo Aparente 2014'!L51)/'Consumo Aparente 2014'!L51</f>
        <v>0.28349264526886214</v>
      </c>
      <c r="M52" s="35">
        <f>+(M51-'Consumo Aparente 2014'!M51)/'Consumo Aparente 2014'!M51</f>
        <v>4.5662650242621101</v>
      </c>
      <c r="N52" s="35">
        <f>+(N51-'Consumo Aparente 2014'!N51)/'Consumo Aparente 2014'!N51</f>
        <v>0.98744311453923916</v>
      </c>
      <c r="O52" s="35">
        <f>+(O51-'Consumo Aparente 2014'!O51)/'Consumo Aparente 2014'!O51</f>
        <v>0.94420611113828123</v>
      </c>
      <c r="P52" s="35">
        <f>+(P51-'Consumo Aparente 2014'!P51)/'Consumo Aparente 2014'!P51</f>
        <v>0.91693920189438871</v>
      </c>
      <c r="R52" s="14"/>
    </row>
    <row r="53" spans="2:21" ht="18" customHeight="1" thickTop="1" thickBot="1">
      <c r="B53" s="260" t="s">
        <v>43</v>
      </c>
      <c r="C53" s="31" t="s">
        <v>65</v>
      </c>
      <c r="D53" s="171">
        <f>+'Producción Laminados 2015'!D48+'Impo 2015'!D53-'Expo 2015'!D53</f>
        <v>759.82404639400011</v>
      </c>
      <c r="E53" s="171">
        <f>+'Producción Laminados 2015'!E48+'Impo 2015'!E53-'Expo 2015'!E53</f>
        <v>770.32448918199998</v>
      </c>
      <c r="F53" s="171">
        <f>+'Producción Laminados 2015'!F48+'Impo 2015'!F53-'Expo 2015'!F53</f>
        <v>738.51176729200006</v>
      </c>
      <c r="G53" s="171">
        <f>+'Producción Laminados 2015'!G48+'Impo 2015'!G53-'Expo 2015'!G53</f>
        <v>777.12829226700001</v>
      </c>
      <c r="H53" s="171">
        <f>+'Producción Laminados 2015'!H48+'Impo 2015'!H53-'Expo 2015'!H53</f>
        <v>763.44211784600009</v>
      </c>
      <c r="I53" s="171">
        <f>+'Producción Laminados 2015'!I48+'Impo 2015'!I53-'Expo 2015'!I53</f>
        <v>710.95909993400005</v>
      </c>
      <c r="J53" s="171">
        <f>+'Producción Laminados 2015'!J48+'Impo 2015'!J53-'Expo 2015'!J53</f>
        <v>694.29890992800006</v>
      </c>
      <c r="K53" s="171">
        <f>+'Producción Laminados 2015'!K48+'Impo 2015'!K53-'Expo 2015'!K53</f>
        <v>765.75881344300001</v>
      </c>
      <c r="L53" s="171">
        <f>+'Producción Laminados 2015'!L48+'Impo 2015'!L53-'Expo 2015'!L53</f>
        <v>783.01793963699993</v>
      </c>
      <c r="M53" s="171">
        <f>+'Producción Laminados 2015'!M48+'Impo 2015'!M53-'Expo 2015'!M53</f>
        <v>718.20519532499998</v>
      </c>
      <c r="N53" s="171">
        <f>+'Producción Laminados 2015'!N48+'Impo 2015'!N53-'Expo 2015'!N53</f>
        <v>710.97614224200004</v>
      </c>
      <c r="O53" s="171">
        <f>+'Producción Laminados 2015'!O48+'Impo 2015'!O53-'Expo 2015'!O53</f>
        <v>635.35606036000013</v>
      </c>
      <c r="P53" s="34">
        <f>SUM(D53:O53)</f>
        <v>8827.8028738500016</v>
      </c>
      <c r="R53" s="14"/>
      <c r="S53" s="55"/>
      <c r="T53" s="55"/>
      <c r="U53" s="55"/>
    </row>
    <row r="54" spans="2:21" ht="18" customHeight="1" thickTop="1" thickBot="1">
      <c r="B54" s="260"/>
      <c r="C54" s="29" t="s">
        <v>59</v>
      </c>
      <c r="D54" s="171">
        <f>+'Producción Laminados 2015'!D49+'Impo 2015'!D54-'Expo 2015'!D54</f>
        <v>1244.9745232589999</v>
      </c>
      <c r="E54" s="171">
        <f>+'Producción Laminados 2015'!E49+'Impo 2015'!E54-'Expo 2015'!E54</f>
        <v>1259.2123249900001</v>
      </c>
      <c r="F54" s="171">
        <f>+'Producción Laminados 2015'!F49+'Impo 2015'!F54-'Expo 2015'!F54</f>
        <v>1403.4631588559998</v>
      </c>
      <c r="G54" s="171">
        <f>+'Producción Laminados 2015'!G49+'Impo 2015'!G54-'Expo 2015'!G54</f>
        <v>1339.3356534299999</v>
      </c>
      <c r="H54" s="171">
        <f>+'Producción Laminados 2015'!H49+'Impo 2015'!H54-'Expo 2015'!H54</f>
        <v>1374.088777187</v>
      </c>
      <c r="I54" s="171">
        <f>+'Producción Laminados 2015'!I49+'Impo 2015'!I54-'Expo 2015'!I54</f>
        <v>1368.2607919120001</v>
      </c>
      <c r="J54" s="171">
        <f>+'Producción Laminados 2015'!J49+'Impo 2015'!J54-'Expo 2015'!J54</f>
        <v>1299.546342464</v>
      </c>
      <c r="K54" s="171">
        <f>+'Producción Laminados 2015'!K49+'Impo 2015'!K54-'Expo 2015'!K54</f>
        <v>1352.6551538670001</v>
      </c>
      <c r="L54" s="171">
        <f>+'Producción Laminados 2015'!L49+'Impo 2015'!L54-'Expo 2015'!L54</f>
        <v>1384.2547676869999</v>
      </c>
      <c r="M54" s="171">
        <f>+'Producción Laminados 2015'!M49+'Impo 2015'!M54-'Expo 2015'!M54</f>
        <v>1282.3577517870001</v>
      </c>
      <c r="N54" s="171">
        <f>+'Producción Laminados 2015'!N49+'Impo 2015'!N54-'Expo 2015'!N54</f>
        <v>1197.3038275409999</v>
      </c>
      <c r="O54" s="171">
        <f>+'Producción Laminados 2015'!O49+'Impo 2015'!O54-'Expo 2015'!O54</f>
        <v>1245.7545104989999</v>
      </c>
      <c r="P54" s="34">
        <f>SUM(D54:O54)</f>
        <v>15751.207583479001</v>
      </c>
      <c r="R54" s="14"/>
      <c r="S54" s="55"/>
      <c r="T54" s="55"/>
      <c r="U54" s="55"/>
    </row>
    <row r="55" spans="2:21" ht="18" customHeight="1" thickTop="1" thickBot="1">
      <c r="B55" s="260"/>
      <c r="C55" s="29" t="s">
        <v>60</v>
      </c>
      <c r="D55" s="171">
        <f>+'Producción Laminados 2015'!D50+'Impo 2015'!D55-'Expo 2015'!D55</f>
        <v>10.011169032000026</v>
      </c>
      <c r="E55" s="171">
        <f>+'Producción Laminados 2015'!E50+'Impo 2015'!E55-'Expo 2015'!E55</f>
        <v>23.104257969999999</v>
      </c>
      <c r="F55" s="171">
        <f>+'Producción Laminados 2015'!F50+'Impo 2015'!F55-'Expo 2015'!F55</f>
        <v>23.481880766000025</v>
      </c>
      <c r="G55" s="171">
        <f>+'Producción Laminados 2015'!G50+'Impo 2015'!G55-'Expo 2015'!G55</f>
        <v>18.914579931000006</v>
      </c>
      <c r="H55" s="171">
        <f>+'Producción Laminados 2015'!H50+'Impo 2015'!H55-'Expo 2015'!H55</f>
        <v>23.190792811999984</v>
      </c>
      <c r="I55" s="171">
        <f>+'Producción Laminados 2015'!I50+'Impo 2015'!I55-'Expo 2015'!I55</f>
        <v>31.453360408999998</v>
      </c>
      <c r="J55" s="171">
        <f>+'Producción Laminados 2015'!J50+'Impo 2015'!J55-'Expo 2015'!J55</f>
        <v>44.197041973000019</v>
      </c>
      <c r="K55" s="171">
        <f>+'Producción Laminados 2015'!K50+'Impo 2015'!K55-'Expo 2015'!K55</f>
        <v>21.434223108000012</v>
      </c>
      <c r="L55" s="171">
        <f>+'Producción Laminados 2015'!L50+'Impo 2015'!L55-'Expo 2015'!L55</f>
        <v>31.478915867000012</v>
      </c>
      <c r="M55" s="171">
        <f>+'Producción Laminados 2015'!M50+'Impo 2015'!M55-'Expo 2015'!M55</f>
        <v>23.581173709000005</v>
      </c>
      <c r="N55" s="171">
        <f>+'Producción Laminados 2015'!N50+'Impo 2015'!N55-'Expo 2015'!N55</f>
        <v>6.2253704009999851</v>
      </c>
      <c r="O55" s="171">
        <f>+'Producción Laminados 2015'!O50+'Impo 2015'!O55-'Expo 2015'!O55</f>
        <v>44.335114502999986</v>
      </c>
      <c r="P55" s="34">
        <f>SUM(D55:O55)</f>
        <v>301.40788048100006</v>
      </c>
      <c r="R55" s="14"/>
      <c r="S55" s="55"/>
      <c r="T55" s="55"/>
      <c r="U55" s="55"/>
    </row>
    <row r="56" spans="2:21" ht="18" customHeight="1" thickTop="1" thickBot="1">
      <c r="B56" s="260"/>
      <c r="C56" s="29" t="s">
        <v>139</v>
      </c>
      <c r="D56" s="171">
        <f>+D53+D54+D55</f>
        <v>2014.809738685</v>
      </c>
      <c r="E56" s="171">
        <f t="shared" ref="E56:O56" si="9">+E53+E54+E55</f>
        <v>2052.6410721420002</v>
      </c>
      <c r="F56" s="171">
        <f t="shared" si="9"/>
        <v>2165.456806914</v>
      </c>
      <c r="G56" s="171">
        <f t="shared" si="9"/>
        <v>2135.3785256279998</v>
      </c>
      <c r="H56" s="171">
        <f t="shared" si="9"/>
        <v>2160.7216878449999</v>
      </c>
      <c r="I56" s="171">
        <f t="shared" si="9"/>
        <v>2110.6732522550001</v>
      </c>
      <c r="J56" s="171">
        <f t="shared" si="9"/>
        <v>2038.0422943650001</v>
      </c>
      <c r="K56" s="171">
        <f t="shared" si="9"/>
        <v>2139.8481904179998</v>
      </c>
      <c r="L56" s="171">
        <f t="shared" si="9"/>
        <v>2198.7516231909999</v>
      </c>
      <c r="M56" s="171">
        <f t="shared" si="9"/>
        <v>2024.1441208210001</v>
      </c>
      <c r="N56" s="171">
        <f t="shared" si="9"/>
        <v>1914.505340184</v>
      </c>
      <c r="O56" s="171">
        <f t="shared" si="9"/>
        <v>1925.4456853619999</v>
      </c>
      <c r="P56" s="34">
        <f>SUM(D56:O56)</f>
        <v>24880.418337810006</v>
      </c>
      <c r="Q56" s="4" t="s">
        <v>17</v>
      </c>
      <c r="R56" s="46">
        <f>+D56+E56+F56+G56+H56+I56+J56+K56</f>
        <v>16817.571568252002</v>
      </c>
      <c r="S56" s="55"/>
      <c r="T56" s="55"/>
      <c r="U56" s="55"/>
    </row>
    <row r="57" spans="2:21" ht="18" customHeight="1" thickTop="1" thickBot="1">
      <c r="B57" s="260"/>
      <c r="C57" s="32" t="s">
        <v>67</v>
      </c>
      <c r="D57" s="35">
        <f>+(D56-'Consumo Aparente 2014'!D56)/'Consumo Aparente 2014'!D56</f>
        <v>9.057459870129006E-2</v>
      </c>
      <c r="E57" s="35">
        <f>+(E56-'Consumo Aparente 2014'!E56)/'Consumo Aparente 2014'!E56</f>
        <v>0.14210375777993964</v>
      </c>
      <c r="F57" s="35">
        <f>+(F56-'Consumo Aparente 2014'!F56)/'Consumo Aparente 2014'!F56</f>
        <v>9.1619555838902925E-2</v>
      </c>
      <c r="G57" s="35">
        <f>+(G56-'Consumo Aparente 2014'!G56)/'Consumo Aparente 2014'!G56</f>
        <v>9.3466725762769931E-2</v>
      </c>
      <c r="H57" s="35">
        <f>+(H56-'Consumo Aparente 2014'!H56)/'Consumo Aparente 2014'!H56</f>
        <v>3.9097498572065598E-2</v>
      </c>
      <c r="I57" s="35">
        <f>+(I56-'Consumo Aparente 2014'!I56)/'Consumo Aparente 2014'!I56</f>
        <v>8.8587864354891896E-2</v>
      </c>
      <c r="J57" s="35">
        <f>+(J56-'Consumo Aparente 2014'!J56)/'Consumo Aparente 2014'!J56</f>
        <v>1.8550069357739819E-2</v>
      </c>
      <c r="K57" s="35">
        <f>+(K56-'Consumo Aparente 2014'!K56)/'Consumo Aparente 2014'!K56</f>
        <v>2.12679849137229E-2</v>
      </c>
      <c r="L57" s="35">
        <f>+(L56-'Consumo Aparente 2014'!L56)/'Consumo Aparente 2014'!L56</f>
        <v>0.15310765562816447</v>
      </c>
      <c r="M57" s="35">
        <f>+(M56-'Consumo Aparente 2014'!M56)/'Consumo Aparente 2014'!M56</f>
        <v>-8.4642089447172272E-3</v>
      </c>
      <c r="N57" s="35">
        <f>+(N56-'Consumo Aparente 2014'!N56)/'Consumo Aparente 2014'!N56</f>
        <v>2.7929245448639474E-3</v>
      </c>
      <c r="O57" s="35">
        <f>+(O56-'Consumo Aparente 2014'!O56)/'Consumo Aparente 2014'!O56</f>
        <v>-4.7042841429774385E-3</v>
      </c>
      <c r="P57" s="35">
        <f>+(P56-'Consumo Aparente 2014'!P56)/'Consumo Aparente 2014'!P56</f>
        <v>5.9292374479716067E-2</v>
      </c>
      <c r="R57" s="14"/>
    </row>
    <row r="58" spans="2:21" s="3" customFormat="1" ht="18" customHeight="1" thickTop="1" thickBot="1">
      <c r="B58" s="260" t="s">
        <v>71</v>
      </c>
      <c r="C58" s="31" t="s">
        <v>65</v>
      </c>
      <c r="D58" s="34">
        <f>+'Impo 2015'!D58-'Expo 2015'!D58</f>
        <v>36.968047380000016</v>
      </c>
      <c r="E58" s="34">
        <f>+'Impo 2015'!E58-'Expo 2015'!E58</f>
        <v>41.848502159999995</v>
      </c>
      <c r="F58" s="34">
        <f>+'Impo 2015'!F58-'Expo 2015'!F58</f>
        <v>25.798844020000001</v>
      </c>
      <c r="G58" s="34">
        <f>+'Impo 2015'!G58-'Expo 2015'!G58</f>
        <v>10.087048459999998</v>
      </c>
      <c r="H58" s="34">
        <f>+'Impo 2015'!H58-'Expo 2015'!H58</f>
        <v>32.775999570000003</v>
      </c>
      <c r="I58" s="34">
        <f>+'Impo 2015'!I58-'Expo 2015'!I58</f>
        <v>14.670272020000004</v>
      </c>
      <c r="J58" s="34">
        <f>+'Impo 2015'!J58-'Expo 2015'!J58</f>
        <v>6.9689496500000008</v>
      </c>
      <c r="K58" s="34">
        <f>+'Impo 2015'!K58-'Expo 2015'!K58</f>
        <v>48.039451009999986</v>
      </c>
      <c r="L58" s="34">
        <f>+'Impo 2015'!L58-'Expo 2015'!L58</f>
        <v>38.500729959999987</v>
      </c>
      <c r="M58" s="34">
        <f>+'Impo 2015'!M58-'Expo 2015'!M58</f>
        <v>32.749932639999997</v>
      </c>
      <c r="N58" s="34">
        <f>+'Impo 2015'!N58-'Expo 2015'!N58</f>
        <v>21.641257009999997</v>
      </c>
      <c r="O58" s="34">
        <f>+'Impo 2015'!O58-'Expo 2015'!O58</f>
        <v>39.482724949999991</v>
      </c>
      <c r="P58" s="34">
        <f>SUM(D58:O58)</f>
        <v>349.53175883</v>
      </c>
      <c r="R58" s="14"/>
    </row>
    <row r="59" spans="2:21" s="3" customFormat="1" ht="18" customHeight="1" thickTop="1" thickBot="1">
      <c r="B59" s="260"/>
      <c r="C59" s="29" t="s">
        <v>59</v>
      </c>
      <c r="D59" s="34">
        <f>+'Impo 2015'!D59-'Expo 2015'!D59</f>
        <v>0.79973806999999986</v>
      </c>
      <c r="E59" s="34">
        <f>+'Impo 2015'!E59-'Expo 2015'!E59</f>
        <v>32.246541430000001</v>
      </c>
      <c r="F59" s="34">
        <f>+'Impo 2015'!F59-'Expo 2015'!F59</f>
        <v>1.1709809000000004</v>
      </c>
      <c r="G59" s="34">
        <f>+'Impo 2015'!G59-'Expo 2015'!G59</f>
        <v>2.3861159599999993</v>
      </c>
      <c r="H59" s="34">
        <f>+'Impo 2015'!H59-'Expo 2015'!H59</f>
        <v>8.8309286500000006</v>
      </c>
      <c r="I59" s="34">
        <f>+'Impo 2015'!I59-'Expo 2015'!I59</f>
        <v>7.2048746600000007</v>
      </c>
      <c r="J59" s="34">
        <f>+'Impo 2015'!J59-'Expo 2015'!J59</f>
        <v>2.66540424</v>
      </c>
      <c r="K59" s="34">
        <f>+'Impo 2015'!K59-'Expo 2015'!K59</f>
        <v>12.75732704</v>
      </c>
      <c r="L59" s="34">
        <f>+'Impo 2015'!L59-'Expo 2015'!L59</f>
        <v>27.044093369999999</v>
      </c>
      <c r="M59" s="34">
        <f>+'Impo 2015'!M59-'Expo 2015'!M59</f>
        <v>13.551948919999997</v>
      </c>
      <c r="N59" s="34">
        <f>+'Impo 2015'!N59-'Expo 2015'!N59</f>
        <v>9.4020250600000015</v>
      </c>
      <c r="O59" s="34">
        <f>+'Impo 2015'!O59-'Expo 2015'!O59</f>
        <v>15.554389730000002</v>
      </c>
      <c r="P59" s="34">
        <f>SUM(D59:O59)</f>
        <v>133.61436803000001</v>
      </c>
      <c r="R59" s="14"/>
    </row>
    <row r="60" spans="2:21" s="3" customFormat="1" ht="18" customHeight="1" thickTop="1" thickBot="1">
      <c r="B60" s="260"/>
      <c r="C60" s="29" t="s">
        <v>60</v>
      </c>
      <c r="D60" s="34">
        <f>+'Impo 2015'!D60-'Expo 2015'!D60</f>
        <v>3.2913470000000007E-2</v>
      </c>
      <c r="E60" s="34">
        <f>+'Impo 2015'!E60-'Expo 2015'!E60</f>
        <v>0.29184151000000003</v>
      </c>
      <c r="F60" s="34">
        <f>+'Impo 2015'!F60-'Expo 2015'!F60</f>
        <v>0.57588859000000003</v>
      </c>
      <c r="G60" s="34">
        <f>+'Impo 2015'!G60-'Expo 2015'!G60</f>
        <v>0.14408018</v>
      </c>
      <c r="H60" s="34">
        <f>+'Impo 2015'!H60-'Expo 2015'!H60</f>
        <v>1.8865829399999998</v>
      </c>
      <c r="I60" s="34">
        <f>+'Impo 2015'!I60-'Expo 2015'!I60</f>
        <v>0.20586987999999998</v>
      </c>
      <c r="J60" s="34">
        <f>+'Impo 2015'!J60-'Expo 2015'!J60</f>
        <v>3.461380290000001</v>
      </c>
      <c r="K60" s="34">
        <f>+'Impo 2015'!K60-'Expo 2015'!K60</f>
        <v>0.9145928900000001</v>
      </c>
      <c r="L60" s="34">
        <f>+'Impo 2015'!L60-'Expo 2015'!L60</f>
        <v>4.1700866100000002</v>
      </c>
      <c r="M60" s="34">
        <f>+'Impo 2015'!M60-'Expo 2015'!M60</f>
        <v>0.54447386000000009</v>
      </c>
      <c r="N60" s="34">
        <f>+'Impo 2015'!N60-'Expo 2015'!N60</f>
        <v>1.7137165299999999</v>
      </c>
      <c r="O60" s="34">
        <f>+'Impo 2015'!O60-'Expo 2015'!O60</f>
        <v>0.99315011000000009</v>
      </c>
      <c r="P60" s="34">
        <f>SUM(D60:O60)</f>
        <v>14.93457686</v>
      </c>
      <c r="R60" s="14"/>
    </row>
    <row r="61" spans="2:21" s="3" customFormat="1" ht="18" customHeight="1" thickTop="1" thickBot="1">
      <c r="B61" s="260"/>
      <c r="C61" s="29" t="s">
        <v>139</v>
      </c>
      <c r="D61" s="34">
        <f t="shared" ref="D61:P61" si="10">+D58+D59+D60</f>
        <v>37.800698920000009</v>
      </c>
      <c r="E61" s="34">
        <f t="shared" si="10"/>
        <v>74.386885099999986</v>
      </c>
      <c r="F61" s="34">
        <f t="shared" si="10"/>
        <v>27.545713510000002</v>
      </c>
      <c r="G61" s="34">
        <f t="shared" si="10"/>
        <v>12.617244599999998</v>
      </c>
      <c r="H61" s="34">
        <f t="shared" si="10"/>
        <v>43.493511159999997</v>
      </c>
      <c r="I61" s="52">
        <f t="shared" si="10"/>
        <v>22.081016560000005</v>
      </c>
      <c r="J61" s="52">
        <f t="shared" si="10"/>
        <v>13.095734180000001</v>
      </c>
      <c r="K61" s="52">
        <f t="shared" si="10"/>
        <v>61.711370939999988</v>
      </c>
      <c r="L61" s="52">
        <f t="shared" si="10"/>
        <v>69.714909939999984</v>
      </c>
      <c r="M61" s="52">
        <f t="shared" si="10"/>
        <v>46.846355419999995</v>
      </c>
      <c r="N61" s="52">
        <f t="shared" si="10"/>
        <v>32.756998599999996</v>
      </c>
      <c r="O61" s="52">
        <f t="shared" si="10"/>
        <v>56.030264789999997</v>
      </c>
      <c r="P61" s="34">
        <f t="shared" si="10"/>
        <v>498.08070371999997</v>
      </c>
      <c r="R61" s="46">
        <f>+D61+E61+F61+G61+H61+I61+J61+K61</f>
        <v>292.73217496999996</v>
      </c>
    </row>
    <row r="62" spans="2:21" s="3" customFormat="1" ht="18" customHeight="1" thickTop="1" thickBot="1">
      <c r="B62" s="260"/>
      <c r="C62" s="32" t="s">
        <v>67</v>
      </c>
      <c r="D62" s="35">
        <f>+(D61-'Consumo Aparente 2014'!D61)/'Consumo Aparente 2014'!D61</f>
        <v>0.21723918452054727</v>
      </c>
      <c r="E62" s="35">
        <f>+(E61-'Consumo Aparente 2014'!E61)/'Consumo Aparente 2014'!E61</f>
        <v>0.27136884577739345</v>
      </c>
      <c r="F62" s="35">
        <f>+(F61-'Consumo Aparente 2014'!F61)/'Consumo Aparente 2014'!F61</f>
        <v>-0.14560198235156069</v>
      </c>
      <c r="G62" s="35">
        <f>+(G61-'Consumo Aparente 2014'!G61)/'Consumo Aparente 2014'!G61</f>
        <v>-0.77654540200840672</v>
      </c>
      <c r="H62" s="35">
        <f>+(H61-'Consumo Aparente 2014'!H61)/'Consumo Aparente 2014'!H61</f>
        <v>0.1619851266791523</v>
      </c>
      <c r="I62" s="35">
        <f>+(I61-'Consumo Aparente 2014'!I61)/'Consumo Aparente 2014'!I61</f>
        <v>-0.66530275334446198</v>
      </c>
      <c r="J62" s="35">
        <f>+(J61-'Consumo Aparente 2014'!J61)/'Consumo Aparente 2014'!J61</f>
        <v>-0.51423392700602633</v>
      </c>
      <c r="K62" s="35">
        <f>+(K61-'Consumo Aparente 2014'!K61)/'Consumo Aparente 2014'!K61</f>
        <v>0.78879406097343452</v>
      </c>
      <c r="L62" s="35">
        <f>+(L61-'Consumo Aparente 2014'!L61)/'Consumo Aparente 2014'!L61</f>
        <v>-0.44887286819296307</v>
      </c>
      <c r="M62" s="35">
        <f>+(M61-'Consumo Aparente 2014'!M61)/'Consumo Aparente 2014'!M61</f>
        <v>0.48122179897108391</v>
      </c>
      <c r="N62" s="35">
        <f>+(N61-'Consumo Aparente 2014'!N61)/'Consumo Aparente 2014'!N61</f>
        <v>-0.10918334005962432</v>
      </c>
      <c r="O62" s="35">
        <f>+(O61-'Consumo Aparente 2014'!O61)/'Consumo Aparente 2014'!O61</f>
        <v>0.9412424857679581</v>
      </c>
      <c r="P62" s="35">
        <f>+(P61-'Consumo Aparente 2014'!P61)/'Consumo Aparente 2014'!P61</f>
        <v>-0.12137463683701973</v>
      </c>
      <c r="R62" s="14"/>
    </row>
    <row r="63" spans="2:21" s="3" customFormat="1" ht="18" customHeight="1" thickTop="1" thickBot="1">
      <c r="B63" s="261" t="s">
        <v>6</v>
      </c>
      <c r="C63" s="31" t="s">
        <v>65</v>
      </c>
      <c r="D63" s="34">
        <f>+'Producción Laminados 2015'!D53+'Impo 2015'!D63-'Expo 2015'!D63</f>
        <v>8.3188963420000004</v>
      </c>
      <c r="E63" s="34">
        <f>+'Producción Laminados 2015'!E53+'Impo 2015'!E63-'Expo 2015'!E63</f>
        <v>5.9662157090000001</v>
      </c>
      <c r="F63" s="34">
        <f>+'Producción Laminados 2015'!F53+'Impo 2015'!F63-'Expo 2015'!F63</f>
        <v>9.186066910000001</v>
      </c>
      <c r="G63" s="34">
        <f>+'Producción Laminados 2015'!G53+'Impo 2015'!G63-'Expo 2015'!G63</f>
        <v>9.5869895389999993</v>
      </c>
      <c r="H63" s="34">
        <f>+'Producción Laminados 2015'!H53+'Impo 2015'!H63-'Expo 2015'!H63</f>
        <v>7.9252991559999995</v>
      </c>
      <c r="I63" s="34">
        <f>+'Producción Laminados 2015'!I53+'Impo 2015'!I63-'Expo 2015'!I63</f>
        <v>11.335925951</v>
      </c>
      <c r="J63" s="34">
        <f>+'Producción Laminados 2015'!J53+'Impo 2015'!J63-'Expo 2015'!J63</f>
        <v>11.343594004</v>
      </c>
      <c r="K63" s="34">
        <f>+'Producción Laminados 2015'!K53+'Impo 2015'!K63-'Expo 2015'!K63</f>
        <v>8.2572075920000003</v>
      </c>
      <c r="L63" s="34">
        <f>+'Producción Laminados 2015'!L53+'Impo 2015'!L63-'Expo 2015'!L63</f>
        <v>8.6574317880000002</v>
      </c>
      <c r="M63" s="34">
        <f>+'Producción Laminados 2015'!M53+'Impo 2015'!M63-'Expo 2015'!M63</f>
        <v>9.2045003090000002</v>
      </c>
      <c r="N63" s="34">
        <f>+'Producción Laminados 2015'!N53+'Impo 2015'!N63-'Expo 2015'!N63</f>
        <v>10.463777024999999</v>
      </c>
      <c r="O63" s="34">
        <f>+'Producción Laminados 2015'!O53+'Impo 2015'!O63-'Expo 2015'!O63</f>
        <v>12.136498053</v>
      </c>
      <c r="P63" s="34">
        <f>SUM(D63:O63)</f>
        <v>112.38240237799999</v>
      </c>
      <c r="R63" s="14"/>
    </row>
    <row r="64" spans="2:21" s="3" customFormat="1" ht="18" customHeight="1" thickTop="1" thickBot="1">
      <c r="B64" s="261"/>
      <c r="C64" s="29" t="s">
        <v>59</v>
      </c>
      <c r="D64" s="34">
        <f>+'Producción Laminados 2015'!D54+'Impo 2015'!D64-'Expo 2015'!D64</f>
        <v>14.242256830000001</v>
      </c>
      <c r="E64" s="34">
        <f>+'Producción Laminados 2015'!E54+'Impo 2015'!E64-'Expo 2015'!E64</f>
        <v>17.46014182</v>
      </c>
      <c r="F64" s="34">
        <f>+'Producción Laminados 2015'!F54+'Impo 2015'!F64-'Expo 2015'!F64</f>
        <v>15.34251465</v>
      </c>
      <c r="G64" s="34">
        <f>+'Producción Laminados 2015'!G54+'Impo 2015'!G64-'Expo 2015'!G64</f>
        <v>20.19339201</v>
      </c>
      <c r="H64" s="34">
        <f>+'Producción Laminados 2015'!H54+'Impo 2015'!H64-'Expo 2015'!H64</f>
        <v>10.7516464</v>
      </c>
      <c r="I64" s="34">
        <f>+'Producción Laminados 2015'!I54+'Impo 2015'!I64-'Expo 2015'!I64</f>
        <v>31.055118579999998</v>
      </c>
      <c r="J64" s="34">
        <f>+'Producción Laminados 2015'!J54+'Impo 2015'!J64-'Expo 2015'!J64</f>
        <v>14.929955780000002</v>
      </c>
      <c r="K64" s="34">
        <f>+'Producción Laminados 2015'!K54+'Impo 2015'!K64-'Expo 2015'!K64</f>
        <v>14.002592890000001</v>
      </c>
      <c r="L64" s="34">
        <f>+'Producción Laminados 2015'!L54+'Impo 2015'!L64-'Expo 2015'!L64</f>
        <v>20.533459619999999</v>
      </c>
      <c r="M64" s="34">
        <f>+'Producción Laminados 2015'!M54+'Impo 2015'!M64-'Expo 2015'!M64</f>
        <v>19.90732513</v>
      </c>
      <c r="N64" s="34">
        <f>+'Producción Laminados 2015'!N54+'Impo 2015'!N64-'Expo 2015'!N64</f>
        <v>17.925336450000003</v>
      </c>
      <c r="O64" s="34">
        <f>+'Producción Laminados 2015'!O54+'Impo 2015'!O64-'Expo 2015'!O64</f>
        <v>20.288804689999999</v>
      </c>
      <c r="P64" s="34">
        <f>SUM(D64:O64)</f>
        <v>216.63254485000002</v>
      </c>
      <c r="R64" s="14"/>
    </row>
    <row r="65" spans="2:18" s="3" customFormat="1" ht="18" customHeight="1" thickTop="1" thickBot="1">
      <c r="B65" s="261"/>
      <c r="C65" s="29" t="s">
        <v>60</v>
      </c>
      <c r="D65" s="34">
        <f>+'Producción Laminados 2015'!D55+'Impo 2015'!D65-'Expo 2015'!D65</f>
        <v>2.8494779999999997E-2</v>
      </c>
      <c r="E65" s="34">
        <f>+'Producción Laminados 2015'!E55+'Impo 2015'!E65-'Expo 2015'!E65</f>
        <v>0.51277099999999998</v>
      </c>
      <c r="F65" s="34">
        <f>+'Producción Laminados 2015'!F55+'Impo 2015'!F65-'Expo 2015'!F65</f>
        <v>7.5485910000000003E-2</v>
      </c>
      <c r="G65" s="34">
        <f>+'Producción Laminados 2015'!G55+'Impo 2015'!G65-'Expo 2015'!G65</f>
        <v>0.113902</v>
      </c>
      <c r="H65" s="34">
        <f>+'Producción Laminados 2015'!H55+'Impo 2015'!H65-'Expo 2015'!H65</f>
        <v>1.291724E-2</v>
      </c>
      <c r="I65" s="34">
        <f>+'Producción Laminados 2015'!I55+'Impo 2015'!I65-'Expo 2015'!I65</f>
        <v>6.8311260000000013E-2</v>
      </c>
      <c r="J65" s="34">
        <f>+'Producción Laminados 2015'!J55+'Impo 2015'!J65-'Expo 2015'!J65</f>
        <v>0.154865</v>
      </c>
      <c r="K65" s="34">
        <f>+'Producción Laminados 2015'!K55+'Impo 2015'!K65-'Expo 2015'!K65</f>
        <v>0.31676100000000001</v>
      </c>
      <c r="L65" s="34">
        <f>+'Producción Laminados 2015'!L55+'Impo 2015'!L65-'Expo 2015'!L65</f>
        <v>8.9882500000000004E-2</v>
      </c>
      <c r="M65" s="34">
        <f>+'Producción Laminados 2015'!M55+'Impo 2015'!M65-'Expo 2015'!M65</f>
        <v>5.7784000000000002E-2</v>
      </c>
      <c r="N65" s="34">
        <f>+'Producción Laminados 2015'!N55+'Impo 2015'!N65-'Expo 2015'!N65</f>
        <v>6.6622399999999998E-3</v>
      </c>
      <c r="O65" s="34">
        <f>+'Producción Laminados 2015'!O55+'Impo 2015'!O65-'Expo 2015'!O65</f>
        <v>4.9716099999999999E-2</v>
      </c>
      <c r="P65" s="34">
        <f>SUM(D65:O65)</f>
        <v>1.4875530300000002</v>
      </c>
      <c r="R65" s="14"/>
    </row>
    <row r="66" spans="2:18" s="3" customFormat="1" ht="18" customHeight="1" thickTop="1" thickBot="1">
      <c r="B66" s="261"/>
      <c r="C66" s="29" t="s">
        <v>139</v>
      </c>
      <c r="D66" s="34">
        <f t="shared" ref="D66:P66" si="11">+D63+D64+D65</f>
        <v>22.589647952</v>
      </c>
      <c r="E66" s="34">
        <f t="shared" si="11"/>
        <v>23.939128529000001</v>
      </c>
      <c r="F66" s="52">
        <f t="shared" si="11"/>
        <v>24.60406747</v>
      </c>
      <c r="G66" s="52">
        <f t="shared" si="11"/>
        <v>29.894283548999997</v>
      </c>
      <c r="H66" s="52">
        <f t="shared" si="11"/>
        <v>18.689862796</v>
      </c>
      <c r="I66" s="52">
        <f t="shared" si="11"/>
        <v>42.459355791</v>
      </c>
      <c r="J66" s="52">
        <f t="shared" si="11"/>
        <v>26.428414784000005</v>
      </c>
      <c r="K66" s="52">
        <f t="shared" si="11"/>
        <v>22.576561482000002</v>
      </c>
      <c r="L66" s="52">
        <f t="shared" si="11"/>
        <v>29.280773908</v>
      </c>
      <c r="M66" s="52">
        <f t="shared" si="11"/>
        <v>29.169609439000002</v>
      </c>
      <c r="N66" s="52">
        <f t="shared" si="11"/>
        <v>28.395775715000003</v>
      </c>
      <c r="O66" s="52">
        <f t="shared" si="11"/>
        <v>32.475018843000001</v>
      </c>
      <c r="P66" s="34">
        <f t="shared" si="11"/>
        <v>330.502500258</v>
      </c>
      <c r="R66" s="46">
        <f>+D66+E66+F66+G66+H66+I66+J66+K66</f>
        <v>211.18132235299998</v>
      </c>
    </row>
    <row r="67" spans="2:18" s="3" customFormat="1" ht="18" customHeight="1" thickTop="1" thickBot="1">
      <c r="B67" s="261"/>
      <c r="C67" s="32" t="s">
        <v>67</v>
      </c>
      <c r="D67" s="35">
        <f>+(D66-'Consumo Aparente 2014'!D66)/'Consumo Aparente 2014'!D66</f>
        <v>-0.28905521956336228</v>
      </c>
      <c r="E67" s="35">
        <f>+(E66-'Consumo Aparente 2014'!E66)/'Consumo Aparente 2014'!E66</f>
        <v>-5.8899757668873211E-2</v>
      </c>
      <c r="F67" s="35">
        <f>+(F66-'Consumo Aparente 2014'!F66)/'Consumo Aparente 2014'!F66</f>
        <v>-0.21590785872846166</v>
      </c>
      <c r="G67" s="35">
        <f>+(G66-'Consumo Aparente 2014'!G66)/'Consumo Aparente 2014'!G66</f>
        <v>-0.50841746830774803</v>
      </c>
      <c r="H67" s="35">
        <f>+(H66-'Consumo Aparente 2014'!H66)/'Consumo Aparente 2014'!H66</f>
        <v>-0.48098079955488665</v>
      </c>
      <c r="I67" s="35">
        <f>+(I66-'Consumo Aparente 2014'!I66)/'Consumo Aparente 2014'!I66</f>
        <v>0.12406471009067049</v>
      </c>
      <c r="J67" s="35">
        <f>+(J66-'Consumo Aparente 2014'!J66)/'Consumo Aparente 2014'!J66</f>
        <v>-0.19796678095184481</v>
      </c>
      <c r="K67" s="35">
        <f>+(K66-'Consumo Aparente 2014'!K66)/'Consumo Aparente 2014'!K66</f>
        <v>-0.47672799344110245</v>
      </c>
      <c r="L67" s="35">
        <f>+(L66-'Consumo Aparente 2014'!L66)/'Consumo Aparente 2014'!L66</f>
        <v>0.14773303051166362</v>
      </c>
      <c r="M67" s="35">
        <f>+(M66-'Consumo Aparente 2014'!M66)/'Consumo Aparente 2014'!M66</f>
        <v>-0.41165138860173139</v>
      </c>
      <c r="N67" s="35">
        <f>+(N66-'Consumo Aparente 2014'!N66)/'Consumo Aparente 2014'!N66</f>
        <v>0.22709049317601135</v>
      </c>
      <c r="O67" s="35">
        <f>+(O66-'Consumo Aparente 2014'!O66)/'Consumo Aparente 2014'!O66</f>
        <v>0.46499002777693926</v>
      </c>
      <c r="P67" s="35">
        <f>+(P66-'Consumo Aparente 2014'!P66)/'Consumo Aparente 2014'!P66</f>
        <v>-0.21249194505266705</v>
      </c>
      <c r="R67" s="14"/>
    </row>
    <row r="68" spans="2:18" s="3" customFormat="1" ht="18" customHeight="1" thickTop="1" thickBot="1">
      <c r="B68" s="261" t="s">
        <v>44</v>
      </c>
      <c r="C68" s="31" t="s">
        <v>65</v>
      </c>
      <c r="D68" s="34">
        <f>+'Producción Laminados 2015'!D58+'Impo 2015'!D68-'Expo 2015'!D68</f>
        <v>190.65851461000005</v>
      </c>
      <c r="E68" s="34">
        <f>+'Producción Laminados 2015'!E58+'Impo 2015'!E68-'Expo 2015'!E68</f>
        <v>207.45089492</v>
      </c>
      <c r="F68" s="34">
        <f>+'Producción Laminados 2015'!F58+'Impo 2015'!F68-'Expo 2015'!F68</f>
        <v>153.17154951999996</v>
      </c>
      <c r="G68" s="34">
        <f>+'Producción Laminados 2015'!G58+'Impo 2015'!G68-'Expo 2015'!G68</f>
        <v>114.27544107000007</v>
      </c>
      <c r="H68" s="34">
        <f>+'Producción Laminados 2015'!H58+'Impo 2015'!H68-'Expo 2015'!H68</f>
        <v>109.24242697999998</v>
      </c>
      <c r="I68" s="34">
        <f>+'Producción Laminados 2015'!I58+'Impo 2015'!I68-'Expo 2015'!I68</f>
        <v>159.58739148999999</v>
      </c>
      <c r="J68" s="34">
        <f>+'Producción Laminados 2015'!J58+'Impo 2015'!J68-'Expo 2015'!J68</f>
        <v>163.61868513999997</v>
      </c>
      <c r="K68" s="34">
        <f>+'Producción Laminados 2015'!K58+'Impo 2015'!K68-'Expo 2015'!K68</f>
        <v>143.56058491000002</v>
      </c>
      <c r="L68" s="34">
        <f>+'Producción Laminados 2015'!L58+'Impo 2015'!L68-'Expo 2015'!L68</f>
        <v>176.70689063999998</v>
      </c>
      <c r="M68" s="34">
        <f>+'Producción Laminados 2015'!M58+'Impo 2015'!M68-'Expo 2015'!M68</f>
        <v>164.30187840000002</v>
      </c>
      <c r="N68" s="34">
        <f>+'Producción Laminados 2015'!N58+'Impo 2015'!N68-'Expo 2015'!N68</f>
        <v>172.0758112</v>
      </c>
      <c r="O68" s="34">
        <f>+'Producción Laminados 2015'!O58+'Impo 2015'!O68-'Expo 2015'!O68</f>
        <v>147.93933462000004</v>
      </c>
      <c r="P68" s="34">
        <f>SUM(D68:O68)</f>
        <v>1902.5894035000001</v>
      </c>
      <c r="R68" s="14"/>
    </row>
    <row r="69" spans="2:18" s="3" customFormat="1" ht="18" customHeight="1" thickTop="1" thickBot="1">
      <c r="B69" s="261"/>
      <c r="C69" s="29" t="s">
        <v>59</v>
      </c>
      <c r="D69" s="34">
        <f>+'Producción Laminados 2015'!D59+'Impo 2015'!D69-'Expo 2015'!D69</f>
        <v>64.213452350000026</v>
      </c>
      <c r="E69" s="34">
        <f>+'Producción Laminados 2015'!E59+'Impo 2015'!E69-'Expo 2015'!E69</f>
        <v>108.17115422000002</v>
      </c>
      <c r="F69" s="34">
        <f>+'Producción Laminados 2015'!F59+'Impo 2015'!F69-'Expo 2015'!F69</f>
        <v>82.981906100000003</v>
      </c>
      <c r="G69" s="34">
        <f>+'Producción Laminados 2015'!G59+'Impo 2015'!G69-'Expo 2015'!G69</f>
        <v>98.546871070000023</v>
      </c>
      <c r="H69" s="34">
        <f>+'Producción Laminados 2015'!H59+'Impo 2015'!H69-'Expo 2015'!H69</f>
        <v>63.957003960000016</v>
      </c>
      <c r="I69" s="34">
        <f>+'Producción Laminados 2015'!I59+'Impo 2015'!I69-'Expo 2015'!I69</f>
        <v>67.526896300000018</v>
      </c>
      <c r="J69" s="34">
        <f>+'Producción Laminados 2015'!J59+'Impo 2015'!J69-'Expo 2015'!J69</f>
        <v>46.242338119999999</v>
      </c>
      <c r="K69" s="34">
        <f>+'Producción Laminados 2015'!K59+'Impo 2015'!K69-'Expo 2015'!K69</f>
        <v>51.854357759999992</v>
      </c>
      <c r="L69" s="34">
        <f>+'Producción Laminados 2015'!L59+'Impo 2015'!L69-'Expo 2015'!L69</f>
        <v>48.259644650000006</v>
      </c>
      <c r="M69" s="34">
        <f>+'Producción Laminados 2015'!M59+'Impo 2015'!M69-'Expo 2015'!M69</f>
        <v>52.743476150000021</v>
      </c>
      <c r="N69" s="34">
        <f>+'Producción Laminados 2015'!N59+'Impo 2015'!N69-'Expo 2015'!N69</f>
        <v>64.040225549999988</v>
      </c>
      <c r="O69" s="34">
        <f>+'Producción Laminados 2015'!O59+'Impo 2015'!O69-'Expo 2015'!O69</f>
        <v>53.964114090000059</v>
      </c>
      <c r="P69" s="34">
        <f>SUM(D69:O69)</f>
        <v>802.50144032000014</v>
      </c>
      <c r="R69" s="14"/>
    </row>
    <row r="70" spans="2:18" s="3" customFormat="1" ht="18" customHeight="1" thickTop="1" thickBot="1">
      <c r="B70" s="261"/>
      <c r="C70" s="29" t="s">
        <v>60</v>
      </c>
      <c r="D70" s="34">
        <f>+'Producción Laminados 2015'!D60+'Impo 2015'!D70-'Expo 2015'!D70</f>
        <v>4.0577898600000024</v>
      </c>
      <c r="E70" s="34">
        <f>+'Producción Laminados 2015'!E60+'Impo 2015'!E70-'Expo 2015'!E70</f>
        <v>12.491927029999994</v>
      </c>
      <c r="F70" s="34">
        <f>+'Producción Laminados 2015'!F60+'Impo 2015'!F70-'Expo 2015'!F70</f>
        <v>4.7959654900000031</v>
      </c>
      <c r="G70" s="34">
        <f>+'Producción Laminados 2015'!G60+'Impo 2015'!G70-'Expo 2015'!G70</f>
        <v>7.277877890000001</v>
      </c>
      <c r="H70" s="34">
        <f>+'Producción Laminados 2015'!H60+'Impo 2015'!H70-'Expo 2015'!H70</f>
        <v>2.0853452699999964</v>
      </c>
      <c r="I70" s="34">
        <f>+'Producción Laminados 2015'!I60+'Impo 2015'!I70-'Expo 2015'!I70</f>
        <v>8.121496859999997</v>
      </c>
      <c r="J70" s="34">
        <f>+'Producción Laminados 2015'!J60+'Impo 2015'!J70-'Expo 2015'!J70</f>
        <v>7.1045227500000072</v>
      </c>
      <c r="K70" s="34">
        <f>+'Producción Laminados 2015'!K60+'Impo 2015'!K70-'Expo 2015'!K70</f>
        <v>4.3551757600000052</v>
      </c>
      <c r="L70" s="34">
        <f>+'Producción Laminados 2015'!L60+'Impo 2015'!L70-'Expo 2015'!L70</f>
        <v>1.5990112900000009</v>
      </c>
      <c r="M70" s="34">
        <f>+'Producción Laminados 2015'!M60+'Impo 2015'!M70-'Expo 2015'!M70</f>
        <v>2.1956555500000059</v>
      </c>
      <c r="N70" s="34">
        <f>+'Producción Laminados 2015'!N60+'Impo 2015'!N70-'Expo 2015'!N70</f>
        <v>7.8461042399999981</v>
      </c>
      <c r="O70" s="34">
        <f>+'Producción Laminados 2015'!O60+'Impo 2015'!O70-'Expo 2015'!O70</f>
        <v>6.6073588100000062</v>
      </c>
      <c r="P70" s="34">
        <f>SUM(D70:O70)</f>
        <v>68.538230800000008</v>
      </c>
      <c r="R70" s="14"/>
    </row>
    <row r="71" spans="2:18" s="3" customFormat="1" ht="18" customHeight="1" thickTop="1" thickBot="1">
      <c r="B71" s="261"/>
      <c r="C71" s="29" t="s">
        <v>139</v>
      </c>
      <c r="D71" s="34">
        <f t="shared" ref="D71:P71" si="12">+D68+D69+D70</f>
        <v>258.92975682000008</v>
      </c>
      <c r="E71" s="34">
        <f t="shared" si="12"/>
        <v>328.11397617</v>
      </c>
      <c r="F71" s="34">
        <f t="shared" si="12"/>
        <v>240.94942110999997</v>
      </c>
      <c r="G71" s="34">
        <f t="shared" si="12"/>
        <v>220.10019003000011</v>
      </c>
      <c r="H71" s="34">
        <f t="shared" si="12"/>
        <v>175.28477620999999</v>
      </c>
      <c r="I71" s="52">
        <f t="shared" si="12"/>
        <v>235.23578465</v>
      </c>
      <c r="J71" s="52">
        <f t="shared" si="12"/>
        <v>216.96554600999997</v>
      </c>
      <c r="K71" s="52">
        <f t="shared" si="12"/>
        <v>199.77011843000003</v>
      </c>
      <c r="L71" s="52">
        <f t="shared" si="12"/>
        <v>226.56554657999999</v>
      </c>
      <c r="M71" s="52">
        <f t="shared" si="12"/>
        <v>219.24101010000004</v>
      </c>
      <c r="N71" s="52">
        <f t="shared" si="12"/>
        <v>243.96214098999997</v>
      </c>
      <c r="O71" s="52">
        <f t="shared" si="12"/>
        <v>208.5108075200001</v>
      </c>
      <c r="P71" s="34">
        <f t="shared" si="12"/>
        <v>2773.6290746200002</v>
      </c>
      <c r="R71" s="46">
        <f>+D71+E71+F71+G71+H71+I71+J71+K71</f>
        <v>1875.34956943</v>
      </c>
    </row>
    <row r="72" spans="2:18" s="3" customFormat="1" ht="18" customHeight="1" thickTop="1" thickBot="1">
      <c r="B72" s="261"/>
      <c r="C72" s="32" t="s">
        <v>67</v>
      </c>
      <c r="D72" s="35">
        <f>+(D71-'Consumo Aparente 2014'!D71)/'Consumo Aparente 2014'!D71</f>
        <v>0.13237504475905421</v>
      </c>
      <c r="E72" s="35">
        <f>+(E71-'Consumo Aparente 2014'!E71)/'Consumo Aparente 2014'!E71</f>
        <v>0.25358326717015983</v>
      </c>
      <c r="F72" s="35">
        <f>+(F71-'Consumo Aparente 2014'!F71)/'Consumo Aparente 2014'!F71</f>
        <v>0.21723211961868585</v>
      </c>
      <c r="G72" s="35">
        <f>+(G71-'Consumo Aparente 2014'!G71)/'Consumo Aparente 2014'!G71</f>
        <v>-8.0275869452791998E-2</v>
      </c>
      <c r="H72" s="35">
        <f>+(H71-'Consumo Aparente 2014'!H71)/'Consumo Aparente 2014'!H71</f>
        <v>-0.33384804013337449</v>
      </c>
      <c r="I72" s="35">
        <f>+(I71-'Consumo Aparente 2014'!I71)/'Consumo Aparente 2014'!I71</f>
        <v>-6.4183098314716275E-2</v>
      </c>
      <c r="J72" s="35">
        <f>+(J71-'Consumo Aparente 2014'!J71)/'Consumo Aparente 2014'!J71</f>
        <v>-0.11062630858482358</v>
      </c>
      <c r="K72" s="35">
        <f>+(K71-'Consumo Aparente 2014'!K71)/'Consumo Aparente 2014'!K71</f>
        <v>4.6147224142239554E-2</v>
      </c>
      <c r="L72" s="35">
        <f>+(L71-'Consumo Aparente 2014'!L71)/'Consumo Aparente 2014'!L71</f>
        <v>-0.66724716240347459</v>
      </c>
      <c r="M72" s="35">
        <f>+(M71-'Consumo Aparente 2014'!M71)/'Consumo Aparente 2014'!M71</f>
        <v>-0.1168493933369084</v>
      </c>
      <c r="N72" s="35">
        <f>+(N71-'Consumo Aparente 2014'!N71)/'Consumo Aparente 2014'!N71</f>
        <v>3.5408717666572158E-2</v>
      </c>
      <c r="O72" s="35">
        <f>+(O71-'Consumo Aparente 2014'!O71)/'Consumo Aparente 2014'!O71</f>
        <v>-6.1292761688495352E-2</v>
      </c>
      <c r="P72" s="35">
        <f>+(P71-'Consumo Aparente 2014'!P71)/'Consumo Aparente 2014'!P71</f>
        <v>-0.15022266140045037</v>
      </c>
      <c r="R72" s="14"/>
    </row>
    <row r="73" spans="2:18" s="3" customFormat="1" ht="18" customHeight="1" thickTop="1" thickBot="1">
      <c r="B73" s="261" t="s">
        <v>64</v>
      </c>
      <c r="C73" s="31" t="s">
        <v>65</v>
      </c>
      <c r="D73" s="34">
        <f>+'Producción Laminados 2015'!D63</f>
        <v>38.814999999999998</v>
      </c>
      <c r="E73" s="34">
        <f>+'Producción Laminados 2015'!E63</f>
        <v>36.043999999999997</v>
      </c>
      <c r="F73" s="34">
        <f>+'Producción Laminados 2015'!F63</f>
        <v>38.987000000000002</v>
      </c>
      <c r="G73" s="34">
        <f>+'Producción Laminados 2015'!G63</f>
        <v>25.39</v>
      </c>
      <c r="H73" s="34">
        <f>+'Producción Laminados 2015'!H63</f>
        <v>32.683</v>
      </c>
      <c r="I73" s="34">
        <f>+'Producción Laminados 2015'!I63</f>
        <v>39.372</v>
      </c>
      <c r="J73" s="34">
        <f>+'Producción Laminados 2015'!J63</f>
        <v>34.069000000000003</v>
      </c>
      <c r="K73" s="34">
        <f>+'Producción Laminados 2015'!K63</f>
        <v>39.15</v>
      </c>
      <c r="L73" s="34">
        <f>+'Producción Laminados 2015'!L63</f>
        <v>42.031999999999996</v>
      </c>
      <c r="M73" s="34">
        <f>+'Producción Laminados 2015'!M63</f>
        <v>50.363999999999997</v>
      </c>
      <c r="N73" s="34">
        <f>+'Producción Laminados 2015'!N63</f>
        <v>28.552</v>
      </c>
      <c r="O73" s="34">
        <f>+'Producción Laminados 2015'!O63</f>
        <v>20.254999999999999</v>
      </c>
      <c r="P73" s="34">
        <f>SUM(D73:O73)</f>
        <v>425.71299999999997</v>
      </c>
      <c r="R73" s="14"/>
    </row>
    <row r="74" spans="2:18" s="3" customFormat="1" ht="18" customHeight="1" thickTop="1" thickBot="1">
      <c r="B74" s="261"/>
      <c r="C74" s="29" t="s">
        <v>59</v>
      </c>
      <c r="D74" s="34">
        <f>+'Producción Laminados 2015'!D64</f>
        <v>0</v>
      </c>
      <c r="E74" s="34">
        <f>+'Producción Laminados 2015'!E64</f>
        <v>0</v>
      </c>
      <c r="F74" s="34">
        <f>+'Producción Laminados 2015'!F64</f>
        <v>0</v>
      </c>
      <c r="G74" s="34">
        <f>+'Producción Laminados 2015'!G64</f>
        <v>0</v>
      </c>
      <c r="H74" s="34">
        <f>+'Producción Laminados 2015'!H64</f>
        <v>0</v>
      </c>
      <c r="I74" s="34">
        <f>+'Producción Laminados 2015'!I64</f>
        <v>0</v>
      </c>
      <c r="J74" s="34">
        <f>+'Producción Laminados 2015'!J64</f>
        <v>0</v>
      </c>
      <c r="K74" s="34">
        <f>+'Producción Laminados 2015'!K64</f>
        <v>0</v>
      </c>
      <c r="L74" s="34">
        <f>+'Producción Laminados 2015'!L64</f>
        <v>0</v>
      </c>
      <c r="M74" s="34">
        <f>+'Producción Laminados 2015'!M64</f>
        <v>0</v>
      </c>
      <c r="N74" s="34">
        <f>+'Producción Laminados 2015'!N64</f>
        <v>0</v>
      </c>
      <c r="O74" s="34">
        <f>+'Producción Laminados 2015'!O64</f>
        <v>0</v>
      </c>
      <c r="P74" s="34">
        <f>SUM(D74:O74)</f>
        <v>0</v>
      </c>
      <c r="R74" s="14"/>
    </row>
    <row r="75" spans="2:18" s="3" customFormat="1" ht="18" customHeight="1" thickTop="1" thickBot="1">
      <c r="B75" s="261"/>
      <c r="C75" s="29" t="s">
        <v>60</v>
      </c>
      <c r="D75" s="34">
        <f>+'Producción Laminados 2015'!D65</f>
        <v>0</v>
      </c>
      <c r="E75" s="34">
        <f>+'Producción Laminados 2015'!E65</f>
        <v>0</v>
      </c>
      <c r="F75" s="34">
        <f>+'Producción Laminados 2015'!F65</f>
        <v>0</v>
      </c>
      <c r="G75" s="34">
        <f>+'Producción Laminados 2015'!G65</f>
        <v>0</v>
      </c>
      <c r="H75" s="34">
        <f>+'Producción Laminados 2015'!H65</f>
        <v>0</v>
      </c>
      <c r="I75" s="34">
        <f>+'Producción Laminados 2015'!I65</f>
        <v>0</v>
      </c>
      <c r="J75" s="34">
        <f>+'Producción Laminados 2015'!J65</f>
        <v>0</v>
      </c>
      <c r="K75" s="34">
        <f>+'Producción Laminados 2015'!K65</f>
        <v>0</v>
      </c>
      <c r="L75" s="34">
        <f>+'Producción Laminados 2015'!L65</f>
        <v>0</v>
      </c>
      <c r="M75" s="34">
        <f>+'Producción Laminados 2015'!M65</f>
        <v>0</v>
      </c>
      <c r="N75" s="34">
        <f>+'Producción Laminados 2015'!N65</f>
        <v>0</v>
      </c>
      <c r="O75" s="34">
        <f>+'Producción Laminados 2015'!O65</f>
        <v>0</v>
      </c>
      <c r="P75" s="34">
        <f>SUM(D75:O75)</f>
        <v>0</v>
      </c>
      <c r="R75" s="14"/>
    </row>
    <row r="76" spans="2:18" s="3" customFormat="1" ht="18" customHeight="1" thickTop="1" thickBot="1">
      <c r="B76" s="261"/>
      <c r="C76" s="29" t="s">
        <v>139</v>
      </c>
      <c r="D76" s="34">
        <f t="shared" ref="D76:P76" si="13">+D73+D74+D75</f>
        <v>38.814999999999998</v>
      </c>
      <c r="E76" s="34">
        <f t="shared" si="13"/>
        <v>36.043999999999997</v>
      </c>
      <c r="F76" s="34">
        <f t="shared" si="13"/>
        <v>38.987000000000002</v>
      </c>
      <c r="G76" s="34">
        <f t="shared" si="13"/>
        <v>25.39</v>
      </c>
      <c r="H76" s="34">
        <f t="shared" si="13"/>
        <v>32.683</v>
      </c>
      <c r="I76" s="52">
        <f t="shared" si="13"/>
        <v>39.372</v>
      </c>
      <c r="J76" s="52">
        <f t="shared" si="13"/>
        <v>34.069000000000003</v>
      </c>
      <c r="K76" s="52">
        <f t="shared" si="13"/>
        <v>39.15</v>
      </c>
      <c r="L76" s="52">
        <f t="shared" si="13"/>
        <v>42.031999999999996</v>
      </c>
      <c r="M76" s="52">
        <f t="shared" si="13"/>
        <v>50.363999999999997</v>
      </c>
      <c r="N76" s="52">
        <f t="shared" si="13"/>
        <v>28.552</v>
      </c>
      <c r="O76" s="52">
        <f t="shared" si="13"/>
        <v>20.254999999999999</v>
      </c>
      <c r="P76" s="34">
        <f t="shared" si="13"/>
        <v>425.71299999999997</v>
      </c>
      <c r="R76" s="46">
        <f>+D76+E76+F76+G76+H76+I76+J76+K76</f>
        <v>284.51</v>
      </c>
    </row>
    <row r="77" spans="2:18" s="3" customFormat="1" ht="18" customHeight="1" thickTop="1" thickBot="1">
      <c r="B77" s="261"/>
      <c r="C77" s="32" t="s">
        <v>67</v>
      </c>
      <c r="D77" s="35">
        <f>+(D76-'Consumo Aparente 2014'!D76)/'Consumo Aparente 2014'!D76</f>
        <v>0.15493334920257085</v>
      </c>
      <c r="E77" s="35">
        <f>+(E76-'Consumo Aparente 2014'!E76)/'Consumo Aparente 2014'!E76</f>
        <v>6.343305599811172E-2</v>
      </c>
      <c r="F77" s="35">
        <f>+(F76-'Consumo Aparente 2014'!F76)/'Consumo Aparente 2014'!F76</f>
        <v>-4.0107346858380882E-2</v>
      </c>
      <c r="G77" s="35">
        <f>+(G76-'Consumo Aparente 2014'!G76)/'Consumo Aparente 2014'!G76</f>
        <v>-0.34617464527592506</v>
      </c>
      <c r="H77" s="35">
        <f>+(H76-'Consumo Aparente 2014'!H76)/'Consumo Aparente 2014'!H76</f>
        <v>-0.25957726376837859</v>
      </c>
      <c r="I77" s="35">
        <f>+(I76-'Consumo Aparente 2014'!I76)/'Consumo Aparente 2014'!I76</f>
        <v>-3.4242543171114616E-2</v>
      </c>
      <c r="J77" s="35">
        <f>+(J76-'Consumo Aparente 2014'!J76)/'Consumo Aparente 2014'!J76</f>
        <v>-0.20649819494584837</v>
      </c>
      <c r="K77" s="35">
        <f>+(K76-'Consumo Aparente 2014'!K76)/'Consumo Aparente 2014'!K76</f>
        <v>-9.0782414826168722E-2</v>
      </c>
      <c r="L77" s="35">
        <f>+(L76-'Consumo Aparente 2014'!L76)/'Consumo Aparente 2014'!L76</f>
        <v>-3.9312488571951132E-2</v>
      </c>
      <c r="M77" s="35">
        <f>+(M76-'Consumo Aparente 2014'!M76)/'Consumo Aparente 2014'!M76</f>
        <v>3.61470570082498E-2</v>
      </c>
      <c r="N77" s="35">
        <f>+(N76-'Consumo Aparente 2014'!N76)/'Consumo Aparente 2014'!N76</f>
        <v>-0.44611922636714585</v>
      </c>
      <c r="O77" s="35">
        <f>+(O76-'Consumo Aparente 2014'!O76)/'Consumo Aparente 2014'!O76</f>
        <v>-0.62578058603998077</v>
      </c>
      <c r="P77" s="35">
        <f>+(P76-'Consumo Aparente 2014'!P76)/'Consumo Aparente 2014'!P76</f>
        <v>-0.17479569208820514</v>
      </c>
      <c r="R77" s="14"/>
    </row>
    <row r="78" spans="2:18" s="3" customFormat="1" ht="18" customHeight="1" thickTop="1" thickBot="1">
      <c r="B78" s="260" t="s">
        <v>7</v>
      </c>
      <c r="C78" s="31" t="s">
        <v>65</v>
      </c>
      <c r="D78" s="34">
        <f>+'Producción Laminados 2015'!D73+'Impo 2015'!D73-'Expo 2015'!D73</f>
        <v>10.389367050000001</v>
      </c>
      <c r="E78" s="34">
        <f>+'Producción Laminados 2015'!E73+'Impo 2015'!E73-'Expo 2015'!E73</f>
        <v>6.9064491990000008</v>
      </c>
      <c r="F78" s="34">
        <f>+'Producción Laminados 2015'!F73+'Impo 2015'!F73-'Expo 2015'!F73</f>
        <v>15.735871313000001</v>
      </c>
      <c r="G78" s="34">
        <f>+'Producción Laminados 2015'!G73+'Impo 2015'!G73-'Expo 2015'!G73</f>
        <v>10.304685341000003</v>
      </c>
      <c r="H78" s="34">
        <f>+'Producción Laminados 2015'!H73+'Impo 2015'!H73-'Expo 2015'!H73</f>
        <v>13.377178408000001</v>
      </c>
      <c r="I78" s="34">
        <f>+'Producción Laminados 2015'!I73+'Impo 2015'!I73-'Expo 2015'!I73</f>
        <v>12.924510458</v>
      </c>
      <c r="J78" s="34">
        <f>+'Producción Laminados 2015'!J73+'Impo 2015'!J73-'Expo 2015'!J73</f>
        <v>12.096730848000002</v>
      </c>
      <c r="K78" s="34">
        <f>+'Producción Laminados 2015'!K73+'Impo 2015'!K73-'Expo 2015'!K73</f>
        <v>10.799086531000002</v>
      </c>
      <c r="L78" s="34">
        <f>+'Producción Laminados 2015'!L73+'Impo 2015'!L73-'Expo 2015'!L73</f>
        <v>11.077929980000002</v>
      </c>
      <c r="M78" s="34">
        <f>+'Producción Laminados 2015'!M73+'Impo 2015'!M73-'Expo 2015'!M73</f>
        <v>13.303227261</v>
      </c>
      <c r="N78" s="34">
        <f>+'Producción Laminados 2015'!N73+'Impo 2015'!N73-'Expo 2015'!N73</f>
        <v>11.360795396</v>
      </c>
      <c r="O78" s="34">
        <f>+'Producción Laminados 2015'!O73+'Impo 2015'!O73-'Expo 2015'!O73</f>
        <v>17.291150735999999</v>
      </c>
      <c r="P78" s="34">
        <f>SUM(D78:O78)</f>
        <v>145.56698252100003</v>
      </c>
      <c r="R78" s="14"/>
    </row>
    <row r="79" spans="2:18" s="3" customFormat="1" ht="18" customHeight="1" thickTop="1" thickBot="1">
      <c r="B79" s="260"/>
      <c r="C79" s="29" t="s">
        <v>59</v>
      </c>
      <c r="D79" s="34">
        <f>+'Producción Laminados 2015'!D74+'Impo 2015'!D74-'Expo 2015'!D74</f>
        <v>9.492854920000001</v>
      </c>
      <c r="E79" s="34">
        <f>+'Producción Laminados 2015'!E74+'Impo 2015'!E74-'Expo 2015'!E74</f>
        <v>5.5159356399999995</v>
      </c>
      <c r="F79" s="34">
        <f>+'Producción Laminados 2015'!F74+'Impo 2015'!F74-'Expo 2015'!F74</f>
        <v>8.2715959800000007</v>
      </c>
      <c r="G79" s="34">
        <f>+'Producción Laminados 2015'!G74+'Impo 2015'!G74-'Expo 2015'!G74</f>
        <v>6.2000024500000004</v>
      </c>
      <c r="H79" s="34">
        <f>+'Producción Laminados 2015'!H74+'Impo 2015'!H74-'Expo 2015'!H74</f>
        <v>8.2385571699999982</v>
      </c>
      <c r="I79" s="34">
        <f>+'Producción Laminados 2015'!I74+'Impo 2015'!I74-'Expo 2015'!I74</f>
        <v>8.8574238899999997</v>
      </c>
      <c r="J79" s="34">
        <f>+'Producción Laminados 2015'!J74+'Impo 2015'!J74-'Expo 2015'!J74</f>
        <v>8.6562963799999988</v>
      </c>
      <c r="K79" s="34">
        <f>+'Producción Laminados 2015'!K74+'Impo 2015'!K74-'Expo 2015'!K74</f>
        <v>5.442461999999999</v>
      </c>
      <c r="L79" s="34">
        <f>+'Producción Laminados 2015'!L74+'Impo 2015'!L74-'Expo 2015'!L74</f>
        <v>6.0338381200000013</v>
      </c>
      <c r="M79" s="34">
        <f>+'Producción Laminados 2015'!M74+'Impo 2015'!M74-'Expo 2015'!M74</f>
        <v>6.0996834299999998</v>
      </c>
      <c r="N79" s="34">
        <f>+'Producción Laminados 2015'!N74+'Impo 2015'!N74-'Expo 2015'!N74</f>
        <v>5.9160263500000001</v>
      </c>
      <c r="O79" s="34">
        <f>+'Producción Laminados 2015'!O74+'Impo 2015'!O74-'Expo 2015'!O74</f>
        <v>7.3136191699999991</v>
      </c>
      <c r="P79" s="34">
        <f>SUM(D79:O79)</f>
        <v>86.03829549999999</v>
      </c>
      <c r="R79" s="14"/>
    </row>
    <row r="80" spans="2:18" s="3" customFormat="1" ht="18" customHeight="1" thickTop="1" thickBot="1">
      <c r="B80" s="260"/>
      <c r="C80" s="29" t="s">
        <v>60</v>
      </c>
      <c r="D80" s="34">
        <f>+'Producción Laminados 2015'!D75+'Impo 2015'!D75-'Expo 2015'!D75</f>
        <v>0.26213565999999999</v>
      </c>
      <c r="E80" s="34">
        <f>+'Producción Laminados 2015'!E75+'Impo 2015'!E75-'Expo 2015'!E75</f>
        <v>0.13369762000000002</v>
      </c>
      <c r="F80" s="34">
        <f>+'Producción Laminados 2015'!F75+'Impo 2015'!F75-'Expo 2015'!F75</f>
        <v>0.13148864999999998</v>
      </c>
      <c r="G80" s="34">
        <f>+'Producción Laminados 2015'!G75+'Impo 2015'!G75-'Expo 2015'!G75</f>
        <v>0.33083313999999997</v>
      </c>
      <c r="H80" s="34">
        <f>+'Producción Laminados 2015'!H75+'Impo 2015'!H75-'Expo 2015'!H75</f>
        <v>6.5599940000000023E-2</v>
      </c>
      <c r="I80" s="34">
        <f>+'Producción Laminados 2015'!I75+'Impo 2015'!I75-'Expo 2015'!I75</f>
        <v>0.37492396999999983</v>
      </c>
      <c r="J80" s="34">
        <f>+'Producción Laminados 2015'!J75+'Impo 2015'!J75-'Expo 2015'!J75</f>
        <v>0.46145691000000005</v>
      </c>
      <c r="K80" s="34">
        <f>+'Producción Laminados 2015'!K75+'Impo 2015'!K75-'Expo 2015'!K75</f>
        <v>0.17462674000000003</v>
      </c>
      <c r="L80" s="34">
        <f>+'Producción Laminados 2015'!L75+'Impo 2015'!L75-'Expo 2015'!L75</f>
        <v>0.13548848000000002</v>
      </c>
      <c r="M80" s="34">
        <f>+'Producción Laminados 2015'!M75+'Impo 2015'!M75-'Expo 2015'!M75</f>
        <v>0.13463127</v>
      </c>
      <c r="N80" s="34">
        <f>+'Producción Laminados 2015'!N75+'Impo 2015'!N75-'Expo 2015'!N75</f>
        <v>7.9192380000000007E-2</v>
      </c>
      <c r="O80" s="34">
        <f>+'Producción Laminados 2015'!O75+'Impo 2015'!O75-'Expo 2015'!O75</f>
        <v>0.1637134400000001</v>
      </c>
      <c r="P80" s="34">
        <f>SUM(D80:O80)</f>
        <v>2.4477881999999997</v>
      </c>
      <c r="R80" s="14"/>
    </row>
    <row r="81" spans="2:19" s="3" customFormat="1" ht="18" customHeight="1" thickTop="1" thickBot="1">
      <c r="B81" s="260"/>
      <c r="C81" s="29" t="s">
        <v>139</v>
      </c>
      <c r="D81" s="34">
        <f t="shared" ref="D81:P81" si="14">+D78+D79+D80</f>
        <v>20.144357630000002</v>
      </c>
      <c r="E81" s="34">
        <f t="shared" si="14"/>
        <v>12.556082458999999</v>
      </c>
      <c r="F81" s="52">
        <f t="shared" si="14"/>
        <v>24.138955943000003</v>
      </c>
      <c r="G81" s="52">
        <f t="shared" si="14"/>
        <v>16.835520931000001</v>
      </c>
      <c r="H81" s="52">
        <f t="shared" si="14"/>
        <v>21.681335517999997</v>
      </c>
      <c r="I81" s="52">
        <f t="shared" si="14"/>
        <v>22.156858318000001</v>
      </c>
      <c r="J81" s="52">
        <f t="shared" si="14"/>
        <v>21.214484138</v>
      </c>
      <c r="K81" s="52">
        <f t="shared" si="14"/>
        <v>16.416175271</v>
      </c>
      <c r="L81" s="52">
        <f t="shared" si="14"/>
        <v>17.247256580000002</v>
      </c>
      <c r="M81" s="52">
        <f t="shared" si="14"/>
        <v>19.537541960999999</v>
      </c>
      <c r="N81" s="52">
        <f t="shared" si="14"/>
        <v>17.356014125999998</v>
      </c>
      <c r="O81" s="52">
        <f t="shared" si="14"/>
        <v>24.768483345999996</v>
      </c>
      <c r="P81" s="34">
        <f t="shared" si="14"/>
        <v>234.05306622099999</v>
      </c>
      <c r="R81" s="46">
        <f>+D81+E81+F81+G81+H81+I81+J81+K81</f>
        <v>155.14377020799998</v>
      </c>
    </row>
    <row r="82" spans="2:19" s="3" customFormat="1" ht="18" customHeight="1" thickTop="1" thickBot="1">
      <c r="B82" s="260"/>
      <c r="C82" s="32" t="s">
        <v>67</v>
      </c>
      <c r="D82" s="35">
        <f>+(D81-'Consumo Aparente 2014'!D81)/'Consumo Aparente 2014'!D81</f>
        <v>0.29989634368938783</v>
      </c>
      <c r="E82" s="35">
        <f>+(E81-'Consumo Aparente 2014'!E81)/'Consumo Aparente 2014'!E81</f>
        <v>2.5832049271994142E-2</v>
      </c>
      <c r="F82" s="35">
        <f>+(F81-'Consumo Aparente 2014'!F81)/'Consumo Aparente 2014'!F81</f>
        <v>0.18434213447338255</v>
      </c>
      <c r="G82" s="35">
        <f>+(G81-'Consumo Aparente 2014'!G81)/'Consumo Aparente 2014'!G81</f>
        <v>-9.8110791068710207E-2</v>
      </c>
      <c r="H82" s="35">
        <f>+(H81-'Consumo Aparente 2014'!H81)/'Consumo Aparente 2014'!H81</f>
        <v>-2.4902256452797027E-2</v>
      </c>
      <c r="I82" s="35">
        <f>+(I81-'Consumo Aparente 2014'!I81)/'Consumo Aparente 2014'!I81</f>
        <v>0.12574132660337106</v>
      </c>
      <c r="J82" s="35">
        <f>+(J81-'Consumo Aparente 2014'!J81)/'Consumo Aparente 2014'!J81</f>
        <v>-6.7096362021020761E-2</v>
      </c>
      <c r="K82" s="35">
        <f>+(K81-'Consumo Aparente 2014'!K81)/'Consumo Aparente 2014'!K81</f>
        <v>-0.11694325374245204</v>
      </c>
      <c r="L82" s="35">
        <f>+(L81-'Consumo Aparente 2014'!L81)/'Consumo Aparente 2014'!L81</f>
        <v>-0.28044740398069645</v>
      </c>
      <c r="M82" s="35">
        <f>+(M81-'Consumo Aparente 2014'!M81)/'Consumo Aparente 2014'!M81</f>
        <v>-5.1311278546289668E-2</v>
      </c>
      <c r="N82" s="35">
        <f>+(N81-'Consumo Aparente 2014'!N81)/'Consumo Aparente 2014'!N81</f>
        <v>0.10200925699721337</v>
      </c>
      <c r="O82" s="35">
        <f>+(O81-'Consumo Aparente 2014'!O81)/'Consumo Aparente 2014'!O81</f>
        <v>0.82531564913980582</v>
      </c>
      <c r="P82" s="35">
        <f>+(P81-'Consumo Aparente 2014'!P81)/'Consumo Aparente 2014'!P81</f>
        <v>4.5274001103781075E-2</v>
      </c>
      <c r="R82" s="14"/>
    </row>
    <row r="83" spans="2:19" ht="18" customHeight="1" thickTop="1" thickBot="1">
      <c r="B83" s="260" t="s">
        <v>3</v>
      </c>
      <c r="C83" s="31" t="s">
        <v>65</v>
      </c>
      <c r="D83" s="34">
        <f>+'Producción Laminados 2015'!D78+'Impo 2015'!D78-'Expo 2015'!D78</f>
        <v>67.041959800000001</v>
      </c>
      <c r="E83" s="34">
        <f>+'Producción Laminados 2015'!E78+'Impo 2015'!E78-'Expo 2015'!E78</f>
        <v>48.607023220000002</v>
      </c>
      <c r="F83" s="34">
        <f>+'Producción Laminados 2015'!F78+'Impo 2015'!F78-'Expo 2015'!F78</f>
        <v>101.92889036</v>
      </c>
      <c r="G83" s="34">
        <f>+'Producción Laminados 2015'!G78+'Impo 2015'!G78-'Expo 2015'!G78</f>
        <v>53.041730659999999</v>
      </c>
      <c r="H83" s="34">
        <f>+'Producción Laminados 2015'!H78+'Impo 2015'!H78-'Expo 2015'!H78</f>
        <v>33.509008590000001</v>
      </c>
      <c r="I83" s="34">
        <f>+'Producción Laminados 2015'!I78+'Impo 2015'!I78-'Expo 2015'!I78</f>
        <v>49.430806279999999</v>
      </c>
      <c r="J83" s="34">
        <f>+'Producción Laminados 2015'!J78+'Impo 2015'!J78-'Expo 2015'!J78</f>
        <v>46.415930269999997</v>
      </c>
      <c r="K83" s="34">
        <f>+'Producción Laminados 2015'!K78+'Impo 2015'!K78-'Expo 2015'!K78</f>
        <v>45.63170092</v>
      </c>
      <c r="L83" s="34">
        <f>+'Producción Laminados 2015'!L78+'Impo 2015'!L78-'Expo 2015'!L78</f>
        <v>52.097830899999998</v>
      </c>
      <c r="M83" s="34">
        <f>+'Producción Laminados 2015'!M78+'Impo 2015'!M78-'Expo 2015'!M78</f>
        <v>87.437140620000008</v>
      </c>
      <c r="N83" s="34">
        <f>+'Producción Laminados 2015'!N78+'Impo 2015'!N78-'Expo 2015'!N78</f>
        <v>77.763577730000009</v>
      </c>
      <c r="O83" s="34">
        <f>+'Producción Laminados 2015'!O78+'Impo 2015'!O78-'Expo 2015'!O78</f>
        <v>43.79975194</v>
      </c>
      <c r="P83" s="34">
        <f>SUM(D83:O83)</f>
        <v>706.70535129000007</v>
      </c>
      <c r="R83" s="14"/>
    </row>
    <row r="84" spans="2:19" ht="18" customHeight="1" thickTop="1" thickBot="1">
      <c r="B84" s="260"/>
      <c r="C84" s="29" t="s">
        <v>59</v>
      </c>
      <c r="D84" s="34">
        <f>+'Producción Laminados 2015'!D79+'Impo 2015'!D79-'Expo 2015'!D79</f>
        <v>127.07885258000002</v>
      </c>
      <c r="E84" s="34">
        <f>+'Producción Laminados 2015'!E79+'Impo 2015'!E79-'Expo 2015'!E79</f>
        <v>102.69648360999999</v>
      </c>
      <c r="F84" s="34">
        <f>+'Producción Laminados 2015'!F79+'Impo 2015'!F79-'Expo 2015'!F79</f>
        <v>131.49701873999999</v>
      </c>
      <c r="G84" s="34">
        <f>+'Producción Laminados 2015'!G79+'Impo 2015'!G79-'Expo 2015'!G79</f>
        <v>85.586093360000007</v>
      </c>
      <c r="H84" s="34">
        <f>+'Producción Laminados 2015'!H79+'Impo 2015'!H79-'Expo 2015'!H79</f>
        <v>58.905330769999992</v>
      </c>
      <c r="I84" s="34">
        <f>+'Producción Laminados 2015'!I79+'Impo 2015'!I79-'Expo 2015'!I79</f>
        <v>77.352452050000011</v>
      </c>
      <c r="J84" s="34">
        <f>+'Producción Laminados 2015'!J79+'Impo 2015'!J79-'Expo 2015'!J79</f>
        <v>46.093410480000003</v>
      </c>
      <c r="K84" s="34">
        <f>+'Producción Laminados 2015'!K79+'Impo 2015'!K79-'Expo 2015'!K79</f>
        <v>64.572424989999988</v>
      </c>
      <c r="L84" s="34">
        <f>+'Producción Laminados 2015'!L79+'Impo 2015'!L79-'Expo 2015'!L79</f>
        <v>74.565559240000013</v>
      </c>
      <c r="M84" s="34">
        <f>+'Producción Laminados 2015'!M79+'Impo 2015'!M79-'Expo 2015'!M79</f>
        <v>49.508992850000013</v>
      </c>
      <c r="N84" s="34">
        <f>+'Producción Laminados 2015'!N79+'Impo 2015'!N79-'Expo 2015'!N79</f>
        <v>73.10977806999999</v>
      </c>
      <c r="O84" s="34">
        <f>+'Producción Laminados 2015'!O79+'Impo 2015'!O79-'Expo 2015'!O79</f>
        <v>81.873447409999983</v>
      </c>
      <c r="P84" s="34">
        <f>SUM(D84:O84)</f>
        <v>972.83984414999986</v>
      </c>
      <c r="R84" s="14"/>
    </row>
    <row r="85" spans="2:19" ht="18" customHeight="1" thickTop="1" thickBot="1">
      <c r="B85" s="260"/>
      <c r="C85" s="29" t="s">
        <v>60</v>
      </c>
      <c r="D85" s="34">
        <f>+'Producción Laminados 2015'!D80+'Impo 2015'!D80-'Expo 2015'!D80</f>
        <v>349.42596968000009</v>
      </c>
      <c r="E85" s="34">
        <f>+'Producción Laminados 2015'!E80+'Impo 2015'!E80-'Expo 2015'!E80</f>
        <v>21.241434029999994</v>
      </c>
      <c r="F85" s="34">
        <f>+'Producción Laminados 2015'!F80+'Impo 2015'!F80-'Expo 2015'!F80</f>
        <v>10.74192925</v>
      </c>
      <c r="G85" s="34">
        <f>+'Producción Laminados 2015'!G80+'Impo 2015'!G80-'Expo 2015'!G80</f>
        <v>11.420732590000005</v>
      </c>
      <c r="H85" s="34">
        <f>+'Producción Laminados 2015'!H80+'Impo 2015'!H80-'Expo 2015'!H80</f>
        <v>8.4325762300000005</v>
      </c>
      <c r="I85" s="34">
        <f>+'Producción Laminados 2015'!I80+'Impo 2015'!I80-'Expo 2015'!I80</f>
        <v>7.7434282699999999</v>
      </c>
      <c r="J85" s="34">
        <f>+'Producción Laminados 2015'!J80+'Impo 2015'!J80-'Expo 2015'!J80</f>
        <v>7.8549320800000002</v>
      </c>
      <c r="K85" s="34">
        <f>+'Producción Laminados 2015'!K80+'Impo 2015'!K80-'Expo 2015'!K80</f>
        <v>5.3703779599999999</v>
      </c>
      <c r="L85" s="34">
        <f>+'Producción Laminados 2015'!L80+'Impo 2015'!L80-'Expo 2015'!L80</f>
        <v>9.2472220500000031</v>
      </c>
      <c r="M85" s="34">
        <f>+'Producción Laminados 2015'!M80+'Impo 2015'!M80-'Expo 2015'!M80</f>
        <v>10.06045084</v>
      </c>
      <c r="N85" s="34">
        <f>+'Producción Laminados 2015'!N80+'Impo 2015'!N80-'Expo 2015'!N80</f>
        <v>5.3571223499999983</v>
      </c>
      <c r="O85" s="34">
        <f>+'Producción Laminados 2015'!O80+'Impo 2015'!O80-'Expo 2015'!O80</f>
        <v>18.709776230000003</v>
      </c>
      <c r="P85" s="34">
        <f>SUM(D85:O85)</f>
        <v>465.60595156000005</v>
      </c>
      <c r="R85" s="14"/>
    </row>
    <row r="86" spans="2:19" ht="18" customHeight="1" thickTop="1" thickBot="1">
      <c r="B86" s="260"/>
      <c r="C86" s="29" t="s">
        <v>139</v>
      </c>
      <c r="D86" s="34">
        <f t="shared" ref="D86:P86" si="15">+D83+D84+D85</f>
        <v>543.54678206000017</v>
      </c>
      <c r="E86" s="34">
        <f t="shared" si="15"/>
        <v>172.54494086</v>
      </c>
      <c r="F86" s="52">
        <f t="shared" si="15"/>
        <v>244.16783834999998</v>
      </c>
      <c r="G86" s="52">
        <f t="shared" si="15"/>
        <v>150.04855660999999</v>
      </c>
      <c r="H86" s="52">
        <f t="shared" si="15"/>
        <v>100.84691558999998</v>
      </c>
      <c r="I86" s="52">
        <f t="shared" si="15"/>
        <v>134.52668660000001</v>
      </c>
      <c r="J86" s="52">
        <f t="shared" si="15"/>
        <v>100.36427283</v>
      </c>
      <c r="K86" s="52">
        <f t="shared" si="15"/>
        <v>115.57450386999999</v>
      </c>
      <c r="L86" s="52">
        <f t="shared" si="15"/>
        <v>135.91061219000002</v>
      </c>
      <c r="M86" s="52">
        <f t="shared" si="15"/>
        <v>147.00658430999999</v>
      </c>
      <c r="N86" s="52">
        <f t="shared" si="15"/>
        <v>156.23047815000001</v>
      </c>
      <c r="O86" s="52">
        <f t="shared" si="15"/>
        <v>144.38297557999999</v>
      </c>
      <c r="P86" s="34">
        <f t="shared" si="15"/>
        <v>2145.151147</v>
      </c>
      <c r="R86" s="46">
        <f>+D86+E86+F86+G86+H86+I86+J86+K86</f>
        <v>1561.6204967700003</v>
      </c>
    </row>
    <row r="87" spans="2:19" ht="18" customHeight="1" thickTop="1" thickBot="1">
      <c r="B87" s="260"/>
      <c r="C87" s="32" t="s">
        <v>67</v>
      </c>
      <c r="D87" s="35">
        <f>+(D86-'Consumo Aparente 2014'!D86)/'Consumo Aparente 2014'!D86</f>
        <v>1.2698423551873181</v>
      </c>
      <c r="E87" s="35">
        <f>+(E86-'Consumo Aparente 2014'!E86)/'Consumo Aparente 2014'!E86</f>
        <v>-5.736808146939202E-2</v>
      </c>
      <c r="F87" s="35">
        <f>+(F86-'Consumo Aparente 2014'!F86)/'Consumo Aparente 2014'!F86</f>
        <v>0.14840363715946198</v>
      </c>
      <c r="G87" s="35">
        <f>+(G86-'Consumo Aparente 2014'!G86)/'Consumo Aparente 2014'!G86</f>
        <v>-0.23244652384001419</v>
      </c>
      <c r="H87" s="35">
        <f>+(H86-'Consumo Aparente 2014'!H86)/'Consumo Aparente 2014'!H86</f>
        <v>-0.31515785772803678</v>
      </c>
      <c r="I87" s="35">
        <f>+(I86-'Consumo Aparente 2014'!I86)/'Consumo Aparente 2014'!I86</f>
        <v>5.5962443246450909E-2</v>
      </c>
      <c r="J87" s="35">
        <f>+(J86-'Consumo Aparente 2014'!J86)/'Consumo Aparente 2014'!J86</f>
        <v>-0.26191507863414903</v>
      </c>
      <c r="K87" s="35">
        <f>+(K86-'Consumo Aparente 2014'!K86)/'Consumo Aparente 2014'!K86</f>
        <v>-0.16319579006722026</v>
      </c>
      <c r="L87" s="35">
        <f>+(L86-'Consumo Aparente 2014'!L86)/'Consumo Aparente 2014'!L86</f>
        <v>-0.13922685973202417</v>
      </c>
      <c r="M87" s="35">
        <f>+(M86-'Consumo Aparente 2014'!M86)/'Consumo Aparente 2014'!M86</f>
        <v>-0.27568979654354975</v>
      </c>
      <c r="N87" s="35">
        <f>+(N86-'Consumo Aparente 2014'!N86)/'Consumo Aparente 2014'!N86</f>
        <v>-3.4389656378500354E-2</v>
      </c>
      <c r="O87" s="35">
        <f>+(O86-'Consumo Aparente 2014'!O86)/'Consumo Aparente 2014'!O86</f>
        <v>-0.15532975755575618</v>
      </c>
      <c r="P87" s="35">
        <f>+(P86-'Consumo Aparente 2014'!P86)/'Consumo Aparente 2014'!P86</f>
        <v>3.4832945522275095E-2</v>
      </c>
      <c r="R87" s="14"/>
    </row>
    <row r="88" spans="2:19" s="3" customFormat="1" ht="18" customHeight="1" thickTop="1" thickBot="1">
      <c r="B88" s="261" t="s">
        <v>61</v>
      </c>
      <c r="C88" s="31" t="s">
        <v>65</v>
      </c>
      <c r="D88" s="34">
        <f>+D3+D13+D18+D23+D28+D63+D33+D38+D43+D53+D58+D68+D73+D78+D83+D8+D48</f>
        <v>2637.4681737060005</v>
      </c>
      <c r="E88" s="34">
        <f t="shared" ref="E88:O88" si="16">+E3+E13+E18+E23+E28+E63+E33+E38+E43+E53+E58+E68+E73+E78+E83+E8+E48</f>
        <v>2600.5417660199996</v>
      </c>
      <c r="F88" s="34">
        <f t="shared" si="16"/>
        <v>2639.3598503050007</v>
      </c>
      <c r="G88" s="34">
        <f t="shared" si="16"/>
        <v>2663.7089866169999</v>
      </c>
      <c r="H88" s="34">
        <f t="shared" si="16"/>
        <v>2530.8043470799998</v>
      </c>
      <c r="I88" s="34">
        <f t="shared" si="16"/>
        <v>2347.1241808330001</v>
      </c>
      <c r="J88" s="34">
        <f t="shared" si="16"/>
        <v>2465.2786122099997</v>
      </c>
      <c r="K88" s="34">
        <f t="shared" si="16"/>
        <v>2577.5592073560006</v>
      </c>
      <c r="L88" s="34">
        <f t="shared" si="16"/>
        <v>2537.4404286650006</v>
      </c>
      <c r="M88" s="34">
        <f t="shared" si="16"/>
        <v>2659.3557672949996</v>
      </c>
      <c r="N88" s="34">
        <f t="shared" si="16"/>
        <v>2525.0441980430005</v>
      </c>
      <c r="O88" s="34">
        <f t="shared" si="16"/>
        <v>1975.8245199223336</v>
      </c>
      <c r="P88" s="34">
        <f>+P3+P13+P18+P23+P28+P63+P33+P38+P43+P53+P58+P68+P73+P78+P83+P8+P48</f>
        <v>30159.510038052322</v>
      </c>
      <c r="Q88" s="5"/>
      <c r="R88" s="14"/>
      <c r="S88" s="70">
        <f>D88+E88+F88+G88+H88+I88</f>
        <v>15419.007304561001</v>
      </c>
    </row>
    <row r="89" spans="2:19" s="3" customFormat="1" ht="18" customHeight="1" thickTop="1" thickBot="1">
      <c r="B89" s="261"/>
      <c r="C89" s="29" t="s">
        <v>59</v>
      </c>
      <c r="D89" s="34">
        <f t="shared" ref="D89:P89" si="17">+D4+D14+D19+D24+D29+D64+D34+D39+D44+D54+D59+D69+D74+D79+D84+D9+D49</f>
        <v>3323.8123034789992</v>
      </c>
      <c r="E89" s="34">
        <f t="shared" si="17"/>
        <v>3279.3261089600001</v>
      </c>
      <c r="F89" s="34">
        <f t="shared" si="17"/>
        <v>3460.5735996059998</v>
      </c>
      <c r="G89" s="34">
        <f t="shared" si="17"/>
        <v>3427.1606527600002</v>
      </c>
      <c r="H89" s="34">
        <f t="shared" si="17"/>
        <v>3132.5998667069994</v>
      </c>
      <c r="I89" s="34">
        <f t="shared" si="17"/>
        <v>3226.7141404719996</v>
      </c>
      <c r="J89" s="34">
        <f t="shared" si="17"/>
        <v>3170.1119309240003</v>
      </c>
      <c r="K89" s="34">
        <f t="shared" si="17"/>
        <v>2880.2549640169996</v>
      </c>
      <c r="L89" s="34">
        <f t="shared" si="17"/>
        <v>2842.9844261170001</v>
      </c>
      <c r="M89" s="34">
        <f t="shared" si="17"/>
        <v>2975.9978524969997</v>
      </c>
      <c r="N89" s="34">
        <f t="shared" si="17"/>
        <v>2744.6265152409992</v>
      </c>
      <c r="O89" s="34">
        <f t="shared" si="17"/>
        <v>2876.0000377923329</v>
      </c>
      <c r="P89" s="34">
        <f t="shared" si="17"/>
        <v>37340.162398572334</v>
      </c>
      <c r="Q89" s="5"/>
      <c r="R89" s="14"/>
      <c r="S89" s="70">
        <f>D89+E89+F89+G89+H89+I89</f>
        <v>19850.186671983996</v>
      </c>
    </row>
    <row r="90" spans="2:19" s="3" customFormat="1" ht="18" customHeight="1" thickTop="1" thickBot="1">
      <c r="B90" s="261"/>
      <c r="C90" s="29" t="s">
        <v>60</v>
      </c>
      <c r="D90" s="34">
        <f t="shared" ref="D90:P91" si="18">+D5+D15+D20+D25+D30+D65+D35+D40+D45+D55+D60+D70+D75+D80+D85+D10+D50</f>
        <v>398.09234747200009</v>
      </c>
      <c r="E90" s="34">
        <f t="shared" si="18"/>
        <v>102.77869362999999</v>
      </c>
      <c r="F90" s="34">
        <f t="shared" si="18"/>
        <v>83.053753476000011</v>
      </c>
      <c r="G90" s="34">
        <f t="shared" si="18"/>
        <v>93.692121041000064</v>
      </c>
      <c r="H90" s="34">
        <f t="shared" si="18"/>
        <v>59.889687761999973</v>
      </c>
      <c r="I90" s="34">
        <f t="shared" si="18"/>
        <v>83.024394098999991</v>
      </c>
      <c r="J90" s="34">
        <f t="shared" si="18"/>
        <v>106.02708536300001</v>
      </c>
      <c r="K90" s="34">
        <f t="shared" si="18"/>
        <v>76.076391758</v>
      </c>
      <c r="L90" s="34">
        <f t="shared" si="18"/>
        <v>96.202796887000034</v>
      </c>
      <c r="M90" s="34">
        <f t="shared" si="18"/>
        <v>71.219063619000011</v>
      </c>
      <c r="N90" s="34">
        <f t="shared" si="18"/>
        <v>61.619597360999968</v>
      </c>
      <c r="O90" s="34">
        <f t="shared" si="18"/>
        <v>91.994418966333313</v>
      </c>
      <c r="P90" s="34">
        <f t="shared" si="18"/>
        <v>1323.6703514343335</v>
      </c>
      <c r="Q90" s="5"/>
      <c r="R90" s="14"/>
      <c r="S90" s="70">
        <f>D90+E90+F90+G90+H90+I90</f>
        <v>820.53099748000011</v>
      </c>
    </row>
    <row r="91" spans="2:19" s="3" customFormat="1" ht="18" customHeight="1" thickTop="1" thickBot="1">
      <c r="B91" s="261"/>
      <c r="C91" s="29" t="s">
        <v>139</v>
      </c>
      <c r="D91" s="34">
        <f t="shared" si="18"/>
        <v>6338.5538246569986</v>
      </c>
      <c r="E91" s="34">
        <f t="shared" si="18"/>
        <v>5811.3235686099988</v>
      </c>
      <c r="F91" s="34">
        <f t="shared" si="18"/>
        <v>6422.6342033870005</v>
      </c>
      <c r="G91" s="34">
        <f t="shared" si="18"/>
        <v>5932.5307604180007</v>
      </c>
      <c r="H91" s="34">
        <f t="shared" si="18"/>
        <v>5779.0069015489998</v>
      </c>
      <c r="I91" s="34">
        <f t="shared" si="18"/>
        <v>5730.1217154039996</v>
      </c>
      <c r="J91" s="34">
        <f t="shared" si="18"/>
        <v>5805.9156284970013</v>
      </c>
      <c r="K91" s="34">
        <f t="shared" si="18"/>
        <v>5788.5045631309986</v>
      </c>
      <c r="L91" s="34">
        <f t="shared" si="18"/>
        <v>5897.3006516690011</v>
      </c>
      <c r="M91" s="34">
        <f t="shared" si="18"/>
        <v>5788.4626834110004</v>
      </c>
      <c r="N91" s="34">
        <f t="shared" si="18"/>
        <v>5291.6683106449991</v>
      </c>
      <c r="O91" s="34">
        <f t="shared" si="18"/>
        <v>4967.2949766809998</v>
      </c>
      <c r="P91" s="34">
        <f>+P6+P16+P21+P26+P31+P66+P36+P41+P46+P56+P61+P71+P76+P81+P86+P11+P51</f>
        <v>69553.317788058994</v>
      </c>
      <c r="Q91" s="5"/>
      <c r="R91" s="46">
        <f>+D91+E91+F91+G91+H91+I91+J91+K91</f>
        <v>47608.591165653001</v>
      </c>
      <c r="S91" s="70">
        <f>D91+E91+F91+G91+H91+I91</f>
        <v>36014.170974025001</v>
      </c>
    </row>
    <row r="92" spans="2:19" ht="18" customHeight="1" thickTop="1" thickBot="1">
      <c r="B92" s="261"/>
      <c r="C92" s="32" t="s">
        <v>67</v>
      </c>
      <c r="D92" s="35">
        <f>+(D91-'Consumo Aparente 2014'!D91)/'Consumo Aparente 2014'!D91</f>
        <v>6.303638633049774E-2</v>
      </c>
      <c r="E92" s="35">
        <f>+(E91-'Consumo Aparente 2014'!E91)/'Consumo Aparente 2014'!E91</f>
        <v>3.1176718918833446E-2</v>
      </c>
      <c r="F92" s="35">
        <f>+(F91-'Consumo Aparente 2014'!F91)/'Consumo Aparente 2014'!F91</f>
        <v>2.6929630726979709E-2</v>
      </c>
      <c r="G92" s="35">
        <f>+(G91-'Consumo Aparente 2014'!G91)/'Consumo Aparente 2014'!G91</f>
        <v>-5.4208534755838207E-2</v>
      </c>
      <c r="H92" s="35">
        <f>+(H91-'Consumo Aparente 2014'!H91)/'Consumo Aparente 2014'!H91</f>
        <v>-9.8924561550478046E-2</v>
      </c>
      <c r="I92" s="35">
        <f>+(I91-'Consumo Aparente 2014'!I91)/'Consumo Aparente 2014'!I91</f>
        <v>-7.4334861506810462E-3</v>
      </c>
      <c r="J92" s="35">
        <f>+(J91-'Consumo Aparente 2014'!J91)/'Consumo Aparente 2014'!J91</f>
        <v>-7.096955597801731E-2</v>
      </c>
      <c r="K92" s="35">
        <f>+(K91-'Consumo Aparente 2014'!K91)/'Consumo Aparente 2014'!K91</f>
        <v>-2.4930874943352829E-2</v>
      </c>
      <c r="L92" s="35">
        <f>+(L91-'Consumo Aparente 2014'!L91)/'Consumo Aparente 2014'!L91</f>
        <v>-8.7555151605074766E-2</v>
      </c>
      <c r="M92" s="35">
        <f>+(M91-'Consumo Aparente 2014'!M91)/'Consumo Aparente 2014'!M91</f>
        <v>-9.182544171523585E-2</v>
      </c>
      <c r="N92" s="35">
        <f>+(N91-'Consumo Aparente 2014'!N91)/'Consumo Aparente 2014'!N91</f>
        <v>-7.0541305902736579E-2</v>
      </c>
      <c r="O92" s="35">
        <f>+(O91-'Consumo Aparente 2014'!O91)/'Consumo Aparente 2014'!O91</f>
        <v>-9.5471964943063189E-2</v>
      </c>
      <c r="P92" s="35">
        <f>+(P91-'Consumo Aparente 2014'!P91)/'Consumo Aparente 2014'!P91</f>
        <v>-3.6050646818878353E-2</v>
      </c>
      <c r="Q92" s="6"/>
      <c r="R92" s="14"/>
    </row>
    <row r="93" spans="2:19" ht="13.5" thickTop="1">
      <c r="B93" s="28"/>
    </row>
    <row r="94" spans="2:19">
      <c r="B94" s="25" t="s">
        <v>19</v>
      </c>
      <c r="C94" s="25" t="s">
        <v>19</v>
      </c>
    </row>
    <row r="95" spans="2:19">
      <c r="B95" s="26" t="s">
        <v>12</v>
      </c>
      <c r="C95" s="26" t="s">
        <v>12</v>
      </c>
    </row>
    <row r="96" spans="2:19">
      <c r="B96" s="2" t="s">
        <v>18</v>
      </c>
      <c r="J96" s="7"/>
    </row>
    <row r="97" spans="2:2">
      <c r="B97" s="36" t="s">
        <v>92</v>
      </c>
    </row>
  </sheetData>
  <mergeCells count="18">
    <mergeCell ref="B3:B7"/>
    <mergeCell ref="B13:B17"/>
    <mergeCell ref="B18:B22"/>
    <mergeCell ref="B23:B27"/>
    <mergeCell ref="B28:B32"/>
    <mergeCell ref="B8:B12"/>
    <mergeCell ref="B88:B92"/>
    <mergeCell ref="B33:B37"/>
    <mergeCell ref="B38:B42"/>
    <mergeCell ref="B43:B47"/>
    <mergeCell ref="B53:B57"/>
    <mergeCell ref="B58:B62"/>
    <mergeCell ref="B63:B67"/>
    <mergeCell ref="B68:B72"/>
    <mergeCell ref="B73:B77"/>
    <mergeCell ref="B78:B82"/>
    <mergeCell ref="B83:B87"/>
    <mergeCell ref="B48:B52"/>
  </mergeCells>
  <hyperlinks>
    <hyperlink ref="P1" location="Índice!A1" display="Índice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U97"/>
  <sheetViews>
    <sheetView zoomScale="70" zoomScaleNormal="70" workbookViewId="0">
      <pane xSplit="3" ySplit="2" topLeftCell="D59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2:18" s="8" customFormat="1" ht="38.25" customHeight="1" thickBot="1">
      <c r="B1" s="22" t="s">
        <v>75</v>
      </c>
      <c r="O1" s="9"/>
      <c r="P1" s="87" t="s">
        <v>111</v>
      </c>
    </row>
    <row r="2" spans="2:18" ht="30" customHeight="1" thickTop="1">
      <c r="B2" s="33" t="s">
        <v>36</v>
      </c>
      <c r="C2" s="21" t="s">
        <v>23</v>
      </c>
      <c r="D2" s="51" t="s">
        <v>27</v>
      </c>
      <c r="E2" s="51" t="s">
        <v>28</v>
      </c>
      <c r="F2" s="51" t="s">
        <v>26</v>
      </c>
      <c r="G2" s="51" t="s">
        <v>22</v>
      </c>
      <c r="H2" s="51" t="s">
        <v>29</v>
      </c>
      <c r="I2" s="51" t="s">
        <v>30</v>
      </c>
      <c r="J2" s="51" t="s">
        <v>31</v>
      </c>
      <c r="K2" s="51" t="s">
        <v>32</v>
      </c>
      <c r="L2" s="51" t="s">
        <v>33</v>
      </c>
      <c r="M2" s="51" t="s">
        <v>24</v>
      </c>
      <c r="N2" s="51" t="s">
        <v>34</v>
      </c>
      <c r="O2" s="51" t="s">
        <v>35</v>
      </c>
      <c r="P2" s="51" t="s">
        <v>25</v>
      </c>
    </row>
    <row r="3" spans="2:18" ht="18" customHeight="1" thickBot="1">
      <c r="B3" s="259" t="s">
        <v>0</v>
      </c>
      <c r="C3" s="29" t="s">
        <v>65</v>
      </c>
      <c r="D3" s="34">
        <v>138.87434210000001</v>
      </c>
      <c r="E3" s="34">
        <v>154.56712514999998</v>
      </c>
      <c r="F3" s="34">
        <v>170.41249938000001</v>
      </c>
      <c r="G3" s="34">
        <v>171.18401485000001</v>
      </c>
      <c r="H3" s="34">
        <v>171.23976339000001</v>
      </c>
      <c r="I3" s="34">
        <v>165.15601146999998</v>
      </c>
      <c r="J3" s="34">
        <v>131.06925150999999</v>
      </c>
      <c r="K3" s="34">
        <v>147.46904567999999</v>
      </c>
      <c r="L3" s="34">
        <v>133.07745584999998</v>
      </c>
      <c r="M3" s="34">
        <v>153.0501342</v>
      </c>
      <c r="N3" s="34">
        <v>158.03493939000001</v>
      </c>
      <c r="O3" s="34">
        <v>144.20047015000003</v>
      </c>
      <c r="P3" s="34">
        <v>1838.3350531199999</v>
      </c>
      <c r="R3" s="14"/>
    </row>
    <row r="4" spans="2:18" ht="18" customHeight="1" thickTop="1" thickBot="1">
      <c r="B4" s="260"/>
      <c r="C4" s="29" t="s">
        <v>59</v>
      </c>
      <c r="D4" s="34">
        <v>255.67147929999996</v>
      </c>
      <c r="E4" s="34">
        <v>236.81802808999998</v>
      </c>
      <c r="F4" s="34">
        <v>255.02138866000004</v>
      </c>
      <c r="G4" s="34">
        <v>243.07572201000002</v>
      </c>
      <c r="H4" s="34">
        <v>228.77981306000001</v>
      </c>
      <c r="I4" s="34">
        <v>239.46008491999999</v>
      </c>
      <c r="J4" s="34">
        <v>257.86006158999999</v>
      </c>
      <c r="K4" s="34">
        <v>193.32357741999999</v>
      </c>
      <c r="L4" s="34">
        <v>192.06356049999999</v>
      </c>
      <c r="M4" s="34">
        <v>211.93023227999998</v>
      </c>
      <c r="N4" s="34">
        <v>206.10894881999999</v>
      </c>
      <c r="O4" s="34">
        <v>244.36404571999998</v>
      </c>
      <c r="P4" s="34">
        <v>2764.47694237</v>
      </c>
      <c r="R4" s="14"/>
    </row>
    <row r="5" spans="2:18" ht="18" customHeight="1" thickTop="1" thickBot="1">
      <c r="B5" s="260"/>
      <c r="C5" s="29" t="s">
        <v>60</v>
      </c>
      <c r="D5" s="34">
        <v>18.412899240000002</v>
      </c>
      <c r="E5" s="34">
        <v>-2.0621850100000003</v>
      </c>
      <c r="F5" s="34">
        <v>42.30548168</v>
      </c>
      <c r="G5" s="34">
        <v>47.903128940000002</v>
      </c>
      <c r="H5" s="34">
        <v>25.776214629999998</v>
      </c>
      <c r="I5" s="34">
        <v>28.444813160000002</v>
      </c>
      <c r="J5" s="34">
        <v>39.618656939999994</v>
      </c>
      <c r="K5" s="34">
        <v>39.675857360000016</v>
      </c>
      <c r="L5" s="34">
        <v>35.484445609999995</v>
      </c>
      <c r="M5" s="34">
        <v>33.636090230000008</v>
      </c>
      <c r="N5" s="34">
        <v>6.7592713299999971</v>
      </c>
      <c r="O5" s="34">
        <v>17.426421340000005</v>
      </c>
      <c r="P5" s="34">
        <v>333.38109544999998</v>
      </c>
      <c r="R5" s="14"/>
    </row>
    <row r="6" spans="2:18" ht="18" customHeight="1" thickTop="1" thickBot="1">
      <c r="B6" s="260"/>
      <c r="C6" s="29" t="s">
        <v>139</v>
      </c>
      <c r="D6" s="34">
        <v>412.95872063999997</v>
      </c>
      <c r="E6" s="34">
        <v>389.32296822999996</v>
      </c>
      <c r="F6" s="34">
        <v>467.73936972000007</v>
      </c>
      <c r="G6" s="34">
        <v>462.16286580000002</v>
      </c>
      <c r="H6" s="34">
        <v>425.79579108000007</v>
      </c>
      <c r="I6" s="34">
        <v>433.06090954999996</v>
      </c>
      <c r="J6" s="34">
        <v>428.54797003999994</v>
      </c>
      <c r="K6" s="34">
        <v>380.46848046000002</v>
      </c>
      <c r="L6" s="34">
        <v>360.62546195999994</v>
      </c>
      <c r="M6" s="34">
        <v>398.61645670999997</v>
      </c>
      <c r="N6" s="34">
        <v>370.90315953999999</v>
      </c>
      <c r="O6" s="34">
        <v>405.99093721000003</v>
      </c>
      <c r="P6" s="34">
        <v>4936.1930909399998</v>
      </c>
      <c r="R6" s="46"/>
    </row>
    <row r="7" spans="2:18" ht="18" customHeight="1" thickTop="1" thickBot="1">
      <c r="B7" s="260"/>
      <c r="C7" s="32" t="s">
        <v>40</v>
      </c>
      <c r="D7" s="35">
        <v>0.12776383510072115</v>
      </c>
      <c r="E7" s="35">
        <v>0.10350284474895161</v>
      </c>
      <c r="F7" s="35">
        <v>8.4991445261124454E-3</v>
      </c>
      <c r="G7" s="35">
        <v>1.1944518442215569E-2</v>
      </c>
      <c r="H7" s="35">
        <v>1.6026173473968449E-2</v>
      </c>
      <c r="I7" s="35">
        <v>3.1203513451701879E-2</v>
      </c>
      <c r="J7" s="35">
        <v>0.25925762293759824</v>
      </c>
      <c r="K7" s="35">
        <v>-0.10271077801836104</v>
      </c>
      <c r="L7" s="35">
        <v>-0.21215085398611294</v>
      </c>
      <c r="M7" s="35">
        <v>-0.17951286114425041</v>
      </c>
      <c r="N7" s="35">
        <v>-0.11538822739963794</v>
      </c>
      <c r="O7" s="35">
        <v>3.6092783667475793E-2</v>
      </c>
      <c r="P7" s="35">
        <v>-1.2278474551093864E-2</v>
      </c>
      <c r="R7" s="14"/>
    </row>
    <row r="8" spans="2:18" ht="18" customHeight="1" thickTop="1" thickBot="1">
      <c r="B8" s="260" t="s">
        <v>77</v>
      </c>
      <c r="C8" s="31" t="s">
        <v>65</v>
      </c>
      <c r="D8" s="34">
        <v>35.594327580000005</v>
      </c>
      <c r="E8" s="34">
        <v>28.663595699999995</v>
      </c>
      <c r="F8" s="34">
        <v>22.621360599999999</v>
      </c>
      <c r="G8" s="34">
        <v>21.883053940000003</v>
      </c>
      <c r="H8" s="34">
        <v>31.560780810000004</v>
      </c>
      <c r="I8" s="34">
        <v>29.310083680000002</v>
      </c>
      <c r="J8" s="34">
        <v>35.75977717</v>
      </c>
      <c r="K8" s="34">
        <v>32.858777400000001</v>
      </c>
      <c r="L8" s="34">
        <v>30.531191159999985</v>
      </c>
      <c r="M8" s="34">
        <v>31.08663407000002</v>
      </c>
      <c r="N8" s="34">
        <v>35.272876340000003</v>
      </c>
      <c r="O8" s="34">
        <v>39.230647000000012</v>
      </c>
      <c r="P8" s="34">
        <v>374.37310545000003</v>
      </c>
      <c r="R8" s="14"/>
    </row>
    <row r="9" spans="2:18" ht="18" customHeight="1" thickTop="1" thickBot="1">
      <c r="B9" s="260"/>
      <c r="C9" s="29" t="s">
        <v>59</v>
      </c>
      <c r="D9" s="34">
        <v>12.33118591</v>
      </c>
      <c r="E9" s="34">
        <v>13.073881850000003</v>
      </c>
      <c r="F9" s="34">
        <v>15.852766429999999</v>
      </c>
      <c r="G9" s="34">
        <v>9.6736159200000014</v>
      </c>
      <c r="H9" s="34">
        <v>11.506012589999999</v>
      </c>
      <c r="I9" s="34">
        <v>12.303512929999998</v>
      </c>
      <c r="J9" s="34">
        <v>13.75254947</v>
      </c>
      <c r="K9" s="34">
        <v>17.644068699999998</v>
      </c>
      <c r="L9" s="34">
        <v>22.268969199999994</v>
      </c>
      <c r="M9" s="34">
        <v>29.779077809999993</v>
      </c>
      <c r="N9" s="34">
        <v>14.831977909999999</v>
      </c>
      <c r="O9" s="34">
        <v>24.9694869</v>
      </c>
      <c r="P9" s="34">
        <v>197.98710561999997</v>
      </c>
      <c r="R9" s="14"/>
    </row>
    <row r="10" spans="2:18" ht="18" customHeight="1" thickTop="1" thickBot="1">
      <c r="B10" s="260"/>
      <c r="C10" s="29" t="s">
        <v>60</v>
      </c>
      <c r="D10" s="34">
        <v>2.5059055200000007</v>
      </c>
      <c r="E10" s="34">
        <v>1.4406642300000003</v>
      </c>
      <c r="F10" s="34">
        <v>2.3159290700000001</v>
      </c>
      <c r="G10" s="34">
        <v>1.4258806000000002</v>
      </c>
      <c r="H10" s="34">
        <v>1.5194279099999999</v>
      </c>
      <c r="I10" s="34">
        <v>2.2453539399999998</v>
      </c>
      <c r="J10" s="34">
        <v>1.3290576199999999</v>
      </c>
      <c r="K10" s="34">
        <v>2.4012393799999998</v>
      </c>
      <c r="L10" s="34">
        <v>2.3243644900000002</v>
      </c>
      <c r="M10" s="34">
        <v>6.0292930400000007</v>
      </c>
      <c r="N10" s="34">
        <v>2.1064000600000004</v>
      </c>
      <c r="O10" s="34">
        <v>2.5928401000000001</v>
      </c>
      <c r="P10" s="34">
        <v>28.236355960000001</v>
      </c>
      <c r="R10" s="14"/>
    </row>
    <row r="11" spans="2:18" ht="18" customHeight="1" thickTop="1" thickBot="1">
      <c r="B11" s="260"/>
      <c r="C11" s="29" t="s">
        <v>139</v>
      </c>
      <c r="D11" s="34">
        <v>50.431419010000006</v>
      </c>
      <c r="E11" s="34">
        <v>43.178141779999997</v>
      </c>
      <c r="F11" s="34">
        <v>40.790056100000001</v>
      </c>
      <c r="G11" s="34">
        <v>32.982550460000006</v>
      </c>
      <c r="H11" s="34">
        <v>44.586221309999999</v>
      </c>
      <c r="I11" s="34">
        <v>43.858950550000003</v>
      </c>
      <c r="J11" s="34">
        <v>50.841384259999998</v>
      </c>
      <c r="K11" s="34">
        <v>52.904085479999999</v>
      </c>
      <c r="L11" s="34">
        <v>55.124524849999979</v>
      </c>
      <c r="M11" s="34">
        <v>66.895004920000019</v>
      </c>
      <c r="N11" s="34">
        <v>52.211254310000001</v>
      </c>
      <c r="O11" s="34">
        <v>66.792974000000015</v>
      </c>
      <c r="P11" s="34">
        <v>600.59656702999996</v>
      </c>
      <c r="R11" s="46"/>
    </row>
    <row r="12" spans="2:18" ht="18" customHeight="1" thickTop="1" thickBot="1">
      <c r="B12" s="260"/>
      <c r="C12" s="32" t="s">
        <v>40</v>
      </c>
      <c r="D12" s="35">
        <v>0.2483797130866193</v>
      </c>
      <c r="E12" s="35">
        <v>9.0531772306117933E-2</v>
      </c>
      <c r="F12" s="35">
        <v>0.1207027332013722</v>
      </c>
      <c r="G12" s="35">
        <v>-2.8547723434386389E-2</v>
      </c>
      <c r="H12" s="35">
        <v>5.3931343632168491E-2</v>
      </c>
      <c r="I12" s="35">
        <v>0.25911602291565183</v>
      </c>
      <c r="J12" s="35">
        <v>4.4585596345915884E-2</v>
      </c>
      <c r="K12" s="35">
        <v>0.25036404184847849</v>
      </c>
      <c r="L12" s="35">
        <v>0.42324106682193297</v>
      </c>
      <c r="M12" s="35">
        <v>0.51628109178888371</v>
      </c>
      <c r="N12" s="35">
        <v>9.5366222424234634E-2</v>
      </c>
      <c r="O12" s="35">
        <v>0.44136969159817963</v>
      </c>
      <c r="P12" s="35">
        <v>0.21255501438819938</v>
      </c>
      <c r="R12" s="14"/>
    </row>
    <row r="13" spans="2:18" ht="18" customHeight="1" thickTop="1" thickBot="1">
      <c r="B13" s="260" t="s">
        <v>42</v>
      </c>
      <c r="C13" s="31" t="s">
        <v>65</v>
      </c>
      <c r="D13" s="34">
        <v>886.76700000000005</v>
      </c>
      <c r="E13" s="34">
        <v>884.85140000000001</v>
      </c>
      <c r="F13" s="34">
        <v>993.14639999999997</v>
      </c>
      <c r="G13" s="34">
        <v>993.12549999999999</v>
      </c>
      <c r="H13" s="34">
        <v>1000.9670000000001</v>
      </c>
      <c r="I13" s="34">
        <v>863.33839999999998</v>
      </c>
      <c r="J13" s="34">
        <v>905.72929999999997</v>
      </c>
      <c r="K13" s="34">
        <v>943.03289999999993</v>
      </c>
      <c r="L13" s="34">
        <v>932.60279999999989</v>
      </c>
      <c r="M13" s="34">
        <v>971.29129999999986</v>
      </c>
      <c r="N13" s="34">
        <v>898.60030000000006</v>
      </c>
      <c r="O13" s="34">
        <v>551.14670000000001</v>
      </c>
      <c r="P13" s="34">
        <v>10824.598999999998</v>
      </c>
      <c r="R13" s="14"/>
    </row>
    <row r="14" spans="2:18" ht="18" customHeight="1" thickTop="1" thickBot="1">
      <c r="B14" s="260"/>
      <c r="C14" s="29" t="s">
        <v>59</v>
      </c>
      <c r="D14" s="34">
        <v>1122.0307</v>
      </c>
      <c r="E14" s="34">
        <v>1139.8075999999999</v>
      </c>
      <c r="F14" s="34">
        <v>1405.3854999999999</v>
      </c>
      <c r="G14" s="34">
        <v>1363.1803</v>
      </c>
      <c r="H14" s="34">
        <v>1332.1869000000002</v>
      </c>
      <c r="I14" s="34">
        <v>1176.9349000000002</v>
      </c>
      <c r="J14" s="34">
        <v>1330.3173999999999</v>
      </c>
      <c r="K14" s="34">
        <v>1287.4714000000001</v>
      </c>
      <c r="L14" s="34">
        <v>1258.5142000000001</v>
      </c>
      <c r="M14" s="34">
        <v>1105.7658000000001</v>
      </c>
      <c r="N14" s="34">
        <v>1056.0811000000001</v>
      </c>
      <c r="O14" s="34">
        <v>962.11559999999997</v>
      </c>
      <c r="P14" s="34">
        <v>14539.7914</v>
      </c>
      <c r="R14" s="14"/>
    </row>
    <row r="15" spans="2:18" ht="18" customHeight="1" thickTop="1" thickBot="1">
      <c r="B15" s="260"/>
      <c r="C15" s="29" t="s">
        <v>60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R15" s="14"/>
    </row>
    <row r="16" spans="2:18" ht="18" customHeight="1" thickTop="1" thickBot="1">
      <c r="B16" s="260"/>
      <c r="C16" s="29" t="s">
        <v>139</v>
      </c>
      <c r="D16" s="34">
        <v>2151</v>
      </c>
      <c r="E16" s="34">
        <v>2118</v>
      </c>
      <c r="F16" s="34">
        <v>2290</v>
      </c>
      <c r="G16" s="34">
        <v>2232</v>
      </c>
      <c r="H16" s="34">
        <v>2369</v>
      </c>
      <c r="I16" s="34">
        <v>1948</v>
      </c>
      <c r="J16" s="34">
        <v>2252</v>
      </c>
      <c r="K16" s="34">
        <v>2089</v>
      </c>
      <c r="L16" s="34">
        <v>2238</v>
      </c>
      <c r="M16" s="34">
        <v>2241</v>
      </c>
      <c r="N16" s="34">
        <v>1952</v>
      </c>
      <c r="O16" s="34">
        <v>1726</v>
      </c>
      <c r="P16" s="34">
        <f>+SUM(D16:O16)</f>
        <v>25606</v>
      </c>
      <c r="R16" s="46"/>
    </row>
    <row r="17" spans="2:18" ht="18" customHeight="1" thickTop="1" thickBot="1">
      <c r="B17" s="260"/>
      <c r="C17" s="32" t="s">
        <v>40</v>
      </c>
      <c r="D17" s="35">
        <v>-7.8413284132841325E-3</v>
      </c>
      <c r="E17" s="35">
        <v>2.318840579710145E-2</v>
      </c>
      <c r="F17" s="35">
        <v>-1.758901758901759E-2</v>
      </c>
      <c r="G17" s="35">
        <v>-7.0774354704412984E-2</v>
      </c>
      <c r="H17" s="35">
        <v>-3.5816035816035818E-2</v>
      </c>
      <c r="I17" s="35">
        <v>-0.17387616624257846</v>
      </c>
      <c r="J17" s="35">
        <v>-9.0137429264349228E-2</v>
      </c>
      <c r="K17" s="35">
        <v>-0.18366549433372412</v>
      </c>
      <c r="L17" s="35">
        <v>-9.4293808174828006E-2</v>
      </c>
      <c r="M17" s="35">
        <v>-0.12043938799529227</v>
      </c>
      <c r="N17" s="35">
        <v>-0.12857142857142856</v>
      </c>
      <c r="O17" s="35">
        <v>-0.10985043837029397</v>
      </c>
      <c r="P17" s="35">
        <v>-8.6087515168820045E-2</v>
      </c>
      <c r="R17" s="14"/>
    </row>
    <row r="18" spans="2:18" ht="18" customHeight="1" thickTop="1" thickBot="1">
      <c r="B18" s="260" t="s">
        <v>1</v>
      </c>
      <c r="C18" s="31" t="s">
        <v>65</v>
      </c>
      <c r="D18" s="34">
        <v>122.70821091000001</v>
      </c>
      <c r="E18" s="34">
        <v>81.467641849999993</v>
      </c>
      <c r="F18" s="34">
        <v>122.20250798999999</v>
      </c>
      <c r="G18" s="34">
        <v>105.06310194</v>
      </c>
      <c r="H18" s="34">
        <v>129.31659722999999</v>
      </c>
      <c r="I18" s="34">
        <v>76.507947240000007</v>
      </c>
      <c r="J18" s="34">
        <v>111.59279436</v>
      </c>
      <c r="K18" s="34">
        <v>137.07827958000001</v>
      </c>
      <c r="L18" s="34">
        <v>74.159777600000012</v>
      </c>
      <c r="M18" s="34">
        <v>102.28929323</v>
      </c>
      <c r="N18" s="34">
        <v>125.45631330000002</v>
      </c>
      <c r="O18" s="34">
        <v>117.45324846999999</v>
      </c>
      <c r="P18" s="34">
        <v>1305.2957136999999</v>
      </c>
      <c r="R18" s="45"/>
    </row>
    <row r="19" spans="2:18" ht="18" customHeight="1" thickTop="1" thickBot="1">
      <c r="B19" s="260"/>
      <c r="C19" s="29" t="s">
        <v>59</v>
      </c>
      <c r="D19" s="34">
        <v>120.36561001000003</v>
      </c>
      <c r="E19" s="34">
        <v>55.053967610000001</v>
      </c>
      <c r="F19" s="34">
        <v>88.752678069999988</v>
      </c>
      <c r="G19" s="34">
        <v>134.75963583000004</v>
      </c>
      <c r="H19" s="34">
        <v>97.541987139999975</v>
      </c>
      <c r="I19" s="34">
        <v>97.41312794000001</v>
      </c>
      <c r="J19" s="34">
        <v>106.74923421</v>
      </c>
      <c r="K19" s="34">
        <v>80.830110519999991</v>
      </c>
      <c r="L19" s="34">
        <v>108.54302650999999</v>
      </c>
      <c r="M19" s="34">
        <v>62.316845289999989</v>
      </c>
      <c r="N19" s="34">
        <v>125.48302699999996</v>
      </c>
      <c r="O19" s="34">
        <v>85.366277590000038</v>
      </c>
      <c r="P19" s="34">
        <v>1163.17552772</v>
      </c>
      <c r="R19" s="14"/>
    </row>
    <row r="20" spans="2:18" ht="18" customHeight="1" thickTop="1" thickBot="1">
      <c r="B20" s="260"/>
      <c r="C20" s="29" t="s">
        <v>60</v>
      </c>
      <c r="D20" s="34">
        <v>1.9670129800000034</v>
      </c>
      <c r="E20" s="34">
        <v>1.7944425199999989</v>
      </c>
      <c r="F20" s="34">
        <v>1.3744915599999998</v>
      </c>
      <c r="G20" s="34">
        <v>2.9158890499999996</v>
      </c>
      <c r="H20" s="34">
        <v>4.6578430299999978</v>
      </c>
      <c r="I20" s="34">
        <v>3.6123058200000027</v>
      </c>
      <c r="J20" s="34">
        <v>2.0360866300000007</v>
      </c>
      <c r="K20" s="34">
        <v>1.8864315600000001</v>
      </c>
      <c r="L20" s="34">
        <v>2.6518872499999988</v>
      </c>
      <c r="M20" s="34">
        <v>1.4781099099999997</v>
      </c>
      <c r="N20" s="34">
        <v>2.0645369999999996</v>
      </c>
      <c r="O20" s="34">
        <v>1.1700995700000003</v>
      </c>
      <c r="P20" s="34">
        <v>27.609136879999998</v>
      </c>
      <c r="R20" s="14"/>
    </row>
    <row r="21" spans="2:18" ht="18" customHeight="1" thickTop="1" thickBot="1">
      <c r="B21" s="260"/>
      <c r="C21" s="29" t="s">
        <v>139</v>
      </c>
      <c r="D21" s="34">
        <v>245.04083390000002</v>
      </c>
      <c r="E21" s="34">
        <v>138.31605197999997</v>
      </c>
      <c r="F21" s="34">
        <v>212.32967761999996</v>
      </c>
      <c r="G21" s="34">
        <v>242.73862682000004</v>
      </c>
      <c r="H21" s="34">
        <v>231.51642739999997</v>
      </c>
      <c r="I21" s="34">
        <v>177.53338099999999</v>
      </c>
      <c r="J21" s="34">
        <v>220.3781152</v>
      </c>
      <c r="K21" s="34">
        <v>219.79482166000003</v>
      </c>
      <c r="L21" s="34">
        <v>185.35469135999998</v>
      </c>
      <c r="M21" s="34">
        <v>166.08424843</v>
      </c>
      <c r="N21" s="34">
        <v>253.00387729999997</v>
      </c>
      <c r="O21" s="34">
        <v>203.98962563000003</v>
      </c>
      <c r="P21" s="34">
        <v>2496.0803782999997</v>
      </c>
      <c r="R21" s="14"/>
    </row>
    <row r="22" spans="2:18" ht="18" customHeight="1" thickTop="1" thickBot="1">
      <c r="B22" s="260"/>
      <c r="C22" s="32" t="s">
        <v>40</v>
      </c>
      <c r="D22" s="35">
        <v>0.23313809305447733</v>
      </c>
      <c r="E22" s="35">
        <v>-0.42464644688236941</v>
      </c>
      <c r="F22" s="35">
        <v>-9.185906193534725E-2</v>
      </c>
      <c r="G22" s="35">
        <v>-2.7420529387634809E-2</v>
      </c>
      <c r="H22" s="35">
        <v>-0.1261865498006623</v>
      </c>
      <c r="I22" s="35">
        <v>-0.19798435609214704</v>
      </c>
      <c r="J22" s="35">
        <v>0.11596086349953202</v>
      </c>
      <c r="K22" s="35">
        <v>0.12269037953852605</v>
      </c>
      <c r="L22" s="35">
        <v>-7.5971893446080255E-2</v>
      </c>
      <c r="M22" s="35">
        <v>-0.42478209997523242</v>
      </c>
      <c r="N22" s="35">
        <v>0.38878427572691115</v>
      </c>
      <c r="O22" s="35">
        <v>-0.18111369208972455</v>
      </c>
      <c r="P22" s="35">
        <v>-8.3225305354810653E-2</v>
      </c>
      <c r="R22" s="14"/>
    </row>
    <row r="23" spans="2:18" ht="18" customHeight="1" thickTop="1" thickBot="1">
      <c r="B23" s="260" t="s">
        <v>2</v>
      </c>
      <c r="C23" s="31" t="s">
        <v>65</v>
      </c>
      <c r="D23" s="34">
        <f>+'Producción Laminados 2014'!D18+'Impo 2014'!D23-'Expo 2014'!D23</f>
        <v>160.29592076</v>
      </c>
      <c r="E23" s="34">
        <f>+'Producción Laminados 2014'!E18+'Impo 2014'!E23-'Expo 2014'!E23</f>
        <v>166.37356832</v>
      </c>
      <c r="F23" s="34">
        <f>+'Producción Laminados 2014'!F18+'Impo 2014'!F23-'Expo 2014'!F23</f>
        <v>195.8460943</v>
      </c>
      <c r="G23" s="34">
        <f>+'Producción Laminados 2014'!G18+'Impo 2014'!G23-'Expo 2014'!G23</f>
        <v>189.39384716000001</v>
      </c>
      <c r="H23" s="34">
        <f>+'Producción Laminados 2014'!H18+'Impo 2014'!H23-'Expo 2014'!H23</f>
        <v>199.96964649</v>
      </c>
      <c r="I23" s="34">
        <f>+'Producción Laminados 2014'!I18+'Impo 2014'!I23-'Expo 2014'!I23</f>
        <v>201.26784645000001</v>
      </c>
      <c r="J23" s="34">
        <f>+'Producción Laminados 2014'!J18+'Impo 2014'!J23-'Expo 2014'!J23</f>
        <v>213.47014338999998</v>
      </c>
      <c r="K23" s="34">
        <f>+'Producción Laminados 2014'!K18+'Impo 2014'!K23-'Expo 2014'!K23</f>
        <v>186.14874463999999</v>
      </c>
      <c r="L23" s="34">
        <f>+'Producción Laminados 2014'!L18+'Impo 2014'!L23-'Expo 2014'!L23</f>
        <v>198.91547901000001</v>
      </c>
      <c r="M23" s="34">
        <f>+'Producción Laminados 2014'!M18+'Impo 2014'!M23-'Expo 2014'!M23</f>
        <v>222.13567331000002</v>
      </c>
      <c r="N23" s="34">
        <f>+'Producción Laminados 2014'!N18+'Impo 2014'!N23-'Expo 2014'!N23</f>
        <v>188.78666887999998</v>
      </c>
      <c r="O23" s="34">
        <f>+'Producción Laminados 2014'!O18+'Impo 2014'!O23-'Expo 2014'!O23</f>
        <v>167.4113127</v>
      </c>
      <c r="P23" s="34">
        <f>+SUM(D23:O23)</f>
        <v>2290.0149454100001</v>
      </c>
      <c r="R23" s="14"/>
    </row>
    <row r="24" spans="2:18" ht="18" customHeight="1" thickTop="1" thickBot="1">
      <c r="B24" s="260"/>
      <c r="C24" s="29" t="s">
        <v>59</v>
      </c>
      <c r="D24" s="34">
        <v>149.3537627</v>
      </c>
      <c r="E24" s="34">
        <v>118.27823557000004</v>
      </c>
      <c r="F24" s="34">
        <v>101.67139164999999</v>
      </c>
      <c r="G24" s="34">
        <v>188.88424415999998</v>
      </c>
      <c r="H24" s="34">
        <v>122.06109839999998</v>
      </c>
      <c r="I24" s="34">
        <v>118.78454062</v>
      </c>
      <c r="J24" s="34">
        <v>152.44083161000003</v>
      </c>
      <c r="K24" s="34">
        <v>109.03514354000002</v>
      </c>
      <c r="L24" s="34">
        <v>72.873808819999994</v>
      </c>
      <c r="M24" s="34">
        <v>173.27137422000004</v>
      </c>
      <c r="N24" s="34">
        <v>83.425171989999996</v>
      </c>
      <c r="O24" s="34">
        <v>71.13066637</v>
      </c>
      <c r="P24" s="34">
        <f>+SUM(D24:O24)</f>
        <v>1461.2102696500001</v>
      </c>
      <c r="R24" s="14"/>
    </row>
    <row r="25" spans="2:18" ht="18" customHeight="1" thickTop="1" thickBot="1">
      <c r="B25" s="260"/>
      <c r="C25" s="29" t="s">
        <v>60</v>
      </c>
      <c r="D25" s="34">
        <f>+'Producción Laminados 2014'!D20+'Impo 2014'!D25-'Expo 2014'!D25</f>
        <v>16.150589669999999</v>
      </c>
      <c r="E25" s="34">
        <f>+'Producción Laminados 2014'!E20+'Impo 2014'!E25-'Expo 2014'!E25</f>
        <v>10.759737479999997</v>
      </c>
      <c r="F25" s="34">
        <f>+'Producción Laminados 2014'!F20+'Impo 2014'!F25-'Expo 2014'!F25</f>
        <v>20.466024319999995</v>
      </c>
      <c r="G25" s="34">
        <f>+'Producción Laminados 2014'!G20+'Impo 2014'!G25-'Expo 2014'!G25</f>
        <v>14.516547100000002</v>
      </c>
      <c r="H25" s="34">
        <f>+'Producción Laminados 2014'!H20+'Impo 2014'!H25-'Expo 2014'!H25</f>
        <v>33.288747950000023</v>
      </c>
      <c r="I25" s="34">
        <f>+'Producción Laminados 2014'!I20+'Impo 2014'!I25-'Expo 2014'!I25</f>
        <v>4.8523711799999987</v>
      </c>
      <c r="J25" s="34">
        <f>+'Producción Laminados 2014'!J20+'Impo 2014'!J25-'Expo 2014'!J25</f>
        <v>16.420146069999994</v>
      </c>
      <c r="K25" s="34">
        <f>+'Producción Laminados 2014'!K20+'Impo 2014'!K25-'Expo 2014'!K25</f>
        <v>21.323022109999997</v>
      </c>
      <c r="L25" s="34">
        <f>+'Producción Laminados 2014'!L20+'Impo 2014'!L25-'Expo 2014'!L25</f>
        <v>13.16484208</v>
      </c>
      <c r="M25" s="34">
        <f>+'Producción Laminados 2014'!M20+'Impo 2014'!M25-'Expo 2014'!M25</f>
        <v>22.074526879999997</v>
      </c>
      <c r="N25" s="34">
        <f>+'Producción Laminados 2014'!N20+'Impo 2014'!N25-'Expo 2014'!N25</f>
        <v>6.5626326200000005</v>
      </c>
      <c r="O25" s="34">
        <f>+'Producción Laminados 2014'!O20+'Impo 2014'!O25-'Expo 2014'!O25</f>
        <v>23.386486610000002</v>
      </c>
      <c r="P25" s="34">
        <f>+SUM(D25:O25)</f>
        <v>202.96567406999998</v>
      </c>
      <c r="R25" s="14"/>
    </row>
    <row r="26" spans="2:18" ht="18" customHeight="1" thickTop="1" thickBot="1">
      <c r="B26" s="260"/>
      <c r="C26" s="29" t="s">
        <v>139</v>
      </c>
      <c r="D26" s="34">
        <f>+D23+D24+D25</f>
        <v>325.80027312999999</v>
      </c>
      <c r="E26" s="34">
        <v>327.22967095000001</v>
      </c>
      <c r="F26" s="34">
        <v>353.36047988999997</v>
      </c>
      <c r="G26" s="34">
        <v>424.34667479999996</v>
      </c>
      <c r="H26" s="34">
        <v>383.65589649999998</v>
      </c>
      <c r="I26" s="34">
        <v>356.36409411000005</v>
      </c>
      <c r="J26" s="34">
        <v>411.08797752000004</v>
      </c>
      <c r="K26" s="34">
        <v>353.29961237999999</v>
      </c>
      <c r="L26" s="34">
        <v>323.02745441000002</v>
      </c>
      <c r="M26" s="34">
        <v>453.58873171999994</v>
      </c>
      <c r="N26" s="34">
        <v>312.67906454999996</v>
      </c>
      <c r="O26" s="34">
        <v>294.51344148999999</v>
      </c>
      <c r="P26" s="34">
        <f>+P23+P24+P25</f>
        <v>3954.19088913</v>
      </c>
      <c r="R26" s="14"/>
    </row>
    <row r="27" spans="2:18" ht="18" customHeight="1" thickTop="1" thickBot="1">
      <c r="B27" s="260"/>
      <c r="C27" s="32" t="s">
        <v>40</v>
      </c>
      <c r="D27" s="35">
        <v>0.12638802820136713</v>
      </c>
      <c r="E27" s="35">
        <v>0.22872024585803735</v>
      </c>
      <c r="F27" s="35">
        <v>0.36391756196165331</v>
      </c>
      <c r="G27" s="35">
        <v>0.39568770357327632</v>
      </c>
      <c r="H27" s="35">
        <v>0.28059956102259809</v>
      </c>
      <c r="I27" s="35">
        <v>0.17655514457023727</v>
      </c>
      <c r="J27" s="35">
        <v>0.2251317338169426</v>
      </c>
      <c r="K27" s="35">
        <v>0.43793780994053966</v>
      </c>
      <c r="L27" s="35">
        <v>-0.15075938876924597</v>
      </c>
      <c r="M27" s="35">
        <v>0.41369266666423637</v>
      </c>
      <c r="N27" s="35">
        <v>0.51499865518344612</v>
      </c>
      <c r="O27" s="35">
        <v>0.14855703483970414</v>
      </c>
      <c r="P27" s="35">
        <v>0.13</v>
      </c>
      <c r="R27" s="14"/>
    </row>
    <row r="28" spans="2:18" s="3" customFormat="1" ht="18" customHeight="1" thickTop="1" thickBot="1">
      <c r="B28" s="260" t="s">
        <v>5</v>
      </c>
      <c r="C28" s="31" t="s">
        <v>65</v>
      </c>
      <c r="D28" s="34">
        <v>32.979903999999998</v>
      </c>
      <c r="E28" s="34">
        <v>35.108029000000002</v>
      </c>
      <c r="F28" s="34">
        <v>41.699784999999999</v>
      </c>
      <c r="G28" s="34">
        <v>51.975094999999996</v>
      </c>
      <c r="H28" s="34">
        <v>46.056404999999998</v>
      </c>
      <c r="I28" s="34">
        <v>48.687961999999999</v>
      </c>
      <c r="J28" s="34">
        <v>47.412962</v>
      </c>
      <c r="K28" s="34">
        <v>43.246878000000002</v>
      </c>
      <c r="L28" s="34">
        <v>52.645160999999995</v>
      </c>
      <c r="M28" s="34">
        <v>48.390467000000001</v>
      </c>
      <c r="N28" s="34">
        <v>53.504367999999999</v>
      </c>
      <c r="O28" s="34">
        <v>58.328351000000005</v>
      </c>
      <c r="P28" s="34">
        <v>560.03536699999995</v>
      </c>
      <c r="R28" s="44"/>
    </row>
    <row r="29" spans="2:18" s="3" customFormat="1" ht="18" customHeight="1" thickTop="1" thickBot="1">
      <c r="B29" s="260"/>
      <c r="C29" s="29" t="s">
        <v>59</v>
      </c>
      <c r="D29" s="34">
        <v>28.502148999999999</v>
      </c>
      <c r="E29" s="34">
        <v>18.540691000000002</v>
      </c>
      <c r="F29" s="34">
        <v>41.927401000000003</v>
      </c>
      <c r="G29" s="34">
        <v>19.246499</v>
      </c>
      <c r="H29" s="34">
        <v>21.063559999999999</v>
      </c>
      <c r="I29" s="34">
        <v>17.296908999999999</v>
      </c>
      <c r="J29" s="34">
        <v>11.289328999999999</v>
      </c>
      <c r="K29" s="34">
        <v>17.103017000000001</v>
      </c>
      <c r="L29" s="34">
        <v>25.993314999999999</v>
      </c>
      <c r="M29" s="34">
        <v>31.548859</v>
      </c>
      <c r="N29" s="34">
        <v>18.715752999999999</v>
      </c>
      <c r="O29" s="34">
        <v>25.554952999999998</v>
      </c>
      <c r="P29" s="34">
        <v>276.78243500000002</v>
      </c>
      <c r="R29" s="44"/>
    </row>
    <row r="30" spans="2:18" s="3" customFormat="1" ht="18" customHeight="1" thickTop="1" thickBot="1">
      <c r="B30" s="260"/>
      <c r="C30" s="29" t="s">
        <v>60</v>
      </c>
      <c r="D30" s="34">
        <v>0.30985400000000002</v>
      </c>
      <c r="E30" s="34">
        <v>9.7896999999999998E-2</v>
      </c>
      <c r="F30" s="34">
        <v>0.219448</v>
      </c>
      <c r="G30" s="34">
        <v>7.1281999999999998E-2</v>
      </c>
      <c r="H30" s="34">
        <v>0.46420300000000003</v>
      </c>
      <c r="I30" s="34">
        <v>0.12151200000000001</v>
      </c>
      <c r="J30" s="34">
        <v>0.157914</v>
      </c>
      <c r="K30" s="34">
        <v>9.7289E-2</v>
      </c>
      <c r="L30" s="34">
        <v>0.46216000000000002</v>
      </c>
      <c r="M30" s="34">
        <v>0.24042999999999998</v>
      </c>
      <c r="N30" s="34">
        <v>0.31409100000000001</v>
      </c>
      <c r="O30" s="34">
        <v>0.42007800000000001</v>
      </c>
      <c r="P30" s="34">
        <v>2.9761579999999999</v>
      </c>
      <c r="R30" s="44"/>
    </row>
    <row r="31" spans="2:18" s="3" customFormat="1" ht="18" customHeight="1" thickTop="1" thickBot="1">
      <c r="B31" s="260"/>
      <c r="C31" s="29" t="s">
        <v>139</v>
      </c>
      <c r="D31" s="34">
        <v>61.791906999999995</v>
      </c>
      <c r="E31" s="34">
        <v>53.746617000000008</v>
      </c>
      <c r="F31" s="34">
        <v>83.846633999999995</v>
      </c>
      <c r="G31" s="34">
        <v>71.292875999999993</v>
      </c>
      <c r="H31" s="34">
        <v>67.584167999999991</v>
      </c>
      <c r="I31" s="34">
        <v>66.106382999999994</v>
      </c>
      <c r="J31" s="34">
        <v>58.860205000000001</v>
      </c>
      <c r="K31" s="34">
        <v>60.447184000000007</v>
      </c>
      <c r="L31" s="34">
        <v>79.100635999999994</v>
      </c>
      <c r="M31" s="34">
        <v>80.179755999999998</v>
      </c>
      <c r="N31" s="34">
        <v>72.534212000000011</v>
      </c>
      <c r="O31" s="34">
        <v>84.303382000000013</v>
      </c>
      <c r="P31" s="34">
        <v>839.79396000000008</v>
      </c>
      <c r="R31" s="44"/>
    </row>
    <row r="32" spans="2:18" s="3" customFormat="1" ht="18" customHeight="1" thickTop="1" thickBot="1">
      <c r="B32" s="260"/>
      <c r="C32" s="32" t="s">
        <v>40</v>
      </c>
      <c r="D32" s="35">
        <v>0.32043982901440943</v>
      </c>
      <c r="E32" s="35">
        <v>0.15265484163520118</v>
      </c>
      <c r="F32" s="35">
        <v>0.25709979168787839</v>
      </c>
      <c r="G32" s="35">
        <v>-0.19232229365867956</v>
      </c>
      <c r="H32" s="35">
        <v>-0.10339771145700291</v>
      </c>
      <c r="I32" s="35">
        <v>5.1663844391179041E-2</v>
      </c>
      <c r="J32" s="35">
        <v>-4.912542460456791E-2</v>
      </c>
      <c r="K32" s="35">
        <v>-9.4114009946447003E-2</v>
      </c>
      <c r="L32" s="35">
        <v>3.1682721638001531E-2</v>
      </c>
      <c r="M32" s="35">
        <v>0.38761993157860303</v>
      </c>
      <c r="N32" s="35">
        <v>0.18293524592509985</v>
      </c>
      <c r="O32" s="35">
        <v>3.6557198967597983E-3</v>
      </c>
      <c r="P32" s="35">
        <v>5.6311650836160743E-2</v>
      </c>
      <c r="R32" s="44"/>
    </row>
    <row r="33" spans="2:21" s="3" customFormat="1" ht="18" customHeight="1" thickTop="1" thickBot="1">
      <c r="B33" s="260" t="s">
        <v>4</v>
      </c>
      <c r="C33" s="31" t="s">
        <v>65</v>
      </c>
      <c r="D33" s="34">
        <v>73.626831790000011</v>
      </c>
      <c r="E33" s="34">
        <v>60.012410600000003</v>
      </c>
      <c r="F33" s="34">
        <v>80.815493500000002</v>
      </c>
      <c r="G33" s="34">
        <v>79.489123699999993</v>
      </c>
      <c r="H33" s="34">
        <v>73.065574780000006</v>
      </c>
      <c r="I33" s="34">
        <v>58.970946159999997</v>
      </c>
      <c r="J33" s="34">
        <v>94.017219859999983</v>
      </c>
      <c r="K33" s="34">
        <v>72.600863980000014</v>
      </c>
      <c r="L33" s="34">
        <v>66.56424801</v>
      </c>
      <c r="M33" s="34">
        <v>77.462883349999998</v>
      </c>
      <c r="N33" s="34">
        <v>71.205232620000004</v>
      </c>
      <c r="O33" s="34">
        <v>67.36068487</v>
      </c>
      <c r="P33" s="34">
        <v>875.19151322000005</v>
      </c>
      <c r="R33" s="44"/>
    </row>
    <row r="34" spans="2:21" s="3" customFormat="1" ht="18" customHeight="1" thickTop="1" thickBot="1">
      <c r="B34" s="260"/>
      <c r="C34" s="29" t="s">
        <v>59</v>
      </c>
      <c r="D34" s="34">
        <v>77.507556019999967</v>
      </c>
      <c r="E34" s="34">
        <v>27.039073219999999</v>
      </c>
      <c r="F34" s="34">
        <v>61.34840332000001</v>
      </c>
      <c r="G34" s="34">
        <v>57.874912839999979</v>
      </c>
      <c r="H34" s="34">
        <v>49.583824729999968</v>
      </c>
      <c r="I34" s="34">
        <v>56.871775979999974</v>
      </c>
      <c r="J34" s="34">
        <v>49.338363630000011</v>
      </c>
      <c r="K34" s="34">
        <v>38.172599010000027</v>
      </c>
      <c r="L34" s="34">
        <v>38.940409320000001</v>
      </c>
      <c r="M34" s="34">
        <v>86.806705560000012</v>
      </c>
      <c r="N34" s="34">
        <v>44.515335949999994</v>
      </c>
      <c r="O34" s="34">
        <v>34.554974780000002</v>
      </c>
      <c r="P34" s="34">
        <v>622.55393435999997</v>
      </c>
      <c r="R34" s="44"/>
    </row>
    <row r="35" spans="2:21" s="3" customFormat="1" ht="18" customHeight="1" thickTop="1" thickBot="1">
      <c r="B35" s="260"/>
      <c r="C35" s="29" t="s">
        <v>60</v>
      </c>
      <c r="D35" s="34">
        <v>18.28238654999998</v>
      </c>
      <c r="E35" s="34">
        <v>2.4248284700000036</v>
      </c>
      <c r="F35" s="34">
        <v>11.021926000000013</v>
      </c>
      <c r="G35" s="34">
        <v>6.044052269999999</v>
      </c>
      <c r="H35" s="34">
        <v>13.333084950000021</v>
      </c>
      <c r="I35" s="34">
        <v>18.894368390000007</v>
      </c>
      <c r="J35" s="34">
        <v>10.197943910000006</v>
      </c>
      <c r="K35" s="34">
        <v>18.088784360000023</v>
      </c>
      <c r="L35" s="34">
        <v>8.3223195500000031</v>
      </c>
      <c r="M35" s="34">
        <v>16.583734269999997</v>
      </c>
      <c r="N35" s="34">
        <v>23.671246130000021</v>
      </c>
      <c r="O35" s="34">
        <v>11.347558450000001</v>
      </c>
      <c r="P35" s="34">
        <v>158.21223330000009</v>
      </c>
      <c r="R35" s="44"/>
    </row>
    <row r="36" spans="2:21" s="3" customFormat="1" ht="18" customHeight="1" thickTop="1" thickBot="1">
      <c r="B36" s="260"/>
      <c r="C36" s="29" t="s">
        <v>139</v>
      </c>
      <c r="D36" s="34">
        <v>169.41677435999995</v>
      </c>
      <c r="E36" s="34">
        <v>89.47631229000001</v>
      </c>
      <c r="F36" s="34">
        <v>153.18582282000003</v>
      </c>
      <c r="G36" s="34">
        <v>143.40808880999998</v>
      </c>
      <c r="H36" s="34">
        <v>135.98248445999999</v>
      </c>
      <c r="I36" s="34">
        <v>134.73709052999999</v>
      </c>
      <c r="J36" s="34">
        <v>153.55352740000001</v>
      </c>
      <c r="K36" s="34">
        <v>128.86224735000008</v>
      </c>
      <c r="L36" s="34">
        <v>113.82697688</v>
      </c>
      <c r="M36" s="34">
        <v>180.85332318000002</v>
      </c>
      <c r="N36" s="34">
        <v>139.39181470000003</v>
      </c>
      <c r="O36" s="34">
        <v>113.26321810000002</v>
      </c>
      <c r="P36" s="34">
        <v>1655.9576808800002</v>
      </c>
      <c r="R36" s="44"/>
    </row>
    <row r="37" spans="2:21" s="3" customFormat="1" ht="18" customHeight="1" thickTop="1" thickBot="1">
      <c r="B37" s="260"/>
      <c r="C37" s="32" t="s">
        <v>40</v>
      </c>
      <c r="D37" s="35">
        <v>8.2737381869251343E-3</v>
      </c>
      <c r="E37" s="35">
        <v>-0.23256269124099643</v>
      </c>
      <c r="F37" s="35">
        <v>-0.11263926247577603</v>
      </c>
      <c r="G37" s="35">
        <v>3.2063205144901935E-2</v>
      </c>
      <c r="H37" s="35">
        <v>-0.38406149666859973</v>
      </c>
      <c r="I37" s="35">
        <v>0.13712243502991026</v>
      </c>
      <c r="J37" s="35">
        <v>1.9779532252356079E-2</v>
      </c>
      <c r="K37" s="35">
        <v>-8.3258214337926295E-2</v>
      </c>
      <c r="L37" s="35">
        <v>-4.232162722201193E-2</v>
      </c>
      <c r="M37" s="35">
        <v>0.30780038979996494</v>
      </c>
      <c r="N37" s="35">
        <v>0.11529259024940099</v>
      </c>
      <c r="O37" s="35">
        <v>7.0770196356916198E-2</v>
      </c>
      <c r="P37" s="35">
        <v>-3.4150653335851981E-2</v>
      </c>
      <c r="R37" s="44"/>
    </row>
    <row r="38" spans="2:21" s="3" customFormat="1" ht="18" customHeight="1" thickTop="1" thickBot="1">
      <c r="B38" s="260" t="s">
        <v>10</v>
      </c>
      <c r="C38" s="31" t="s">
        <v>65</v>
      </c>
      <c r="D38" s="34">
        <v>13.245103250000003</v>
      </c>
      <c r="E38" s="34">
        <v>14.041755649999997</v>
      </c>
      <c r="F38" s="34">
        <v>18.88157296</v>
      </c>
      <c r="G38" s="34">
        <v>12.658495369999999</v>
      </c>
      <c r="H38" s="34">
        <v>18.705212329999998</v>
      </c>
      <c r="I38" s="34">
        <v>17.434270600000005</v>
      </c>
      <c r="J38" s="34">
        <v>17.595625560000002</v>
      </c>
      <c r="K38" s="34">
        <v>7.6892972999999998</v>
      </c>
      <c r="L38" s="34">
        <v>9.3917179199999996</v>
      </c>
      <c r="M38" s="34">
        <v>15.222612800000007</v>
      </c>
      <c r="N38" s="34">
        <v>7.4396495500000022</v>
      </c>
      <c r="O38" s="34">
        <v>6.665496130000002</v>
      </c>
      <c r="P38" s="34">
        <v>158.97080942000002</v>
      </c>
      <c r="R38" s="44"/>
    </row>
    <row r="39" spans="2:21" s="3" customFormat="1" ht="18" customHeight="1" thickTop="1" thickBot="1">
      <c r="B39" s="260"/>
      <c r="C39" s="29" t="s">
        <v>59</v>
      </c>
      <c r="D39" s="34">
        <v>15.557472370000006</v>
      </c>
      <c r="E39" s="34">
        <v>14.372455769999997</v>
      </c>
      <c r="F39" s="34">
        <v>19.944229710000002</v>
      </c>
      <c r="G39" s="34">
        <v>5.490176550000001</v>
      </c>
      <c r="H39" s="34">
        <v>3.6915556099999991</v>
      </c>
      <c r="I39" s="34">
        <v>13.352588180000001</v>
      </c>
      <c r="J39" s="34">
        <v>16.862429839999997</v>
      </c>
      <c r="K39" s="34">
        <v>4.0781758100000003</v>
      </c>
      <c r="L39" s="34">
        <v>16.424351189999989</v>
      </c>
      <c r="M39" s="34">
        <v>13.901887489999989</v>
      </c>
      <c r="N39" s="34">
        <v>3.9302305499999974</v>
      </c>
      <c r="O39" s="34">
        <v>9.0857930099999926</v>
      </c>
      <c r="P39" s="34">
        <v>136.69134607999999</v>
      </c>
      <c r="R39" s="44"/>
    </row>
    <row r="40" spans="2:21" s="3" customFormat="1" ht="18" customHeight="1" thickTop="1" thickBot="1">
      <c r="B40" s="260"/>
      <c r="C40" s="29" t="s">
        <v>60</v>
      </c>
      <c r="D40" s="34">
        <v>0.53304691999999998</v>
      </c>
      <c r="E40" s="34">
        <v>0.40978484999999998</v>
      </c>
      <c r="F40" s="34">
        <v>0.60424811999999972</v>
      </c>
      <c r="G40" s="34">
        <v>0.40455797000000004</v>
      </c>
      <c r="H40" s="34">
        <v>0.60178142000000001</v>
      </c>
      <c r="I40" s="34">
        <v>0.85106499999999985</v>
      </c>
      <c r="J40" s="34">
        <v>0.36812270000000008</v>
      </c>
      <c r="K40" s="34">
        <v>0.67220646000000006</v>
      </c>
      <c r="L40" s="34">
        <v>0.49646948999999996</v>
      </c>
      <c r="M40" s="34">
        <v>0.57736917999999993</v>
      </c>
      <c r="N40" s="34">
        <v>1.2021353499999998</v>
      </c>
      <c r="O40" s="34">
        <v>0.23825101999999998</v>
      </c>
      <c r="P40" s="34">
        <v>6.9590384799999994</v>
      </c>
      <c r="R40" s="44"/>
    </row>
    <row r="41" spans="2:21" s="3" customFormat="1" ht="18" customHeight="1" thickTop="1" thickBot="1">
      <c r="B41" s="260"/>
      <c r="C41" s="29" t="s">
        <v>139</v>
      </c>
      <c r="D41" s="34">
        <v>29.33562254000001</v>
      </c>
      <c r="E41" s="34">
        <v>28.823996269999995</v>
      </c>
      <c r="F41" s="34">
        <v>39.430050790000003</v>
      </c>
      <c r="G41" s="34">
        <v>18.553229889999997</v>
      </c>
      <c r="H41" s="34">
        <v>22.998549359999998</v>
      </c>
      <c r="I41" s="34">
        <v>31.637923780000005</v>
      </c>
      <c r="J41" s="34">
        <v>34.8261781</v>
      </c>
      <c r="K41" s="34">
        <v>12.439679570000001</v>
      </c>
      <c r="L41" s="34">
        <v>26.312538599999986</v>
      </c>
      <c r="M41" s="34">
        <v>29.701869469999998</v>
      </c>
      <c r="N41" s="34">
        <v>12.572015449999999</v>
      </c>
      <c r="O41" s="34">
        <v>15.989540159999994</v>
      </c>
      <c r="P41" s="34">
        <v>302.62119397999999</v>
      </c>
      <c r="R41" s="44"/>
    </row>
    <row r="42" spans="2:21" s="3" customFormat="1" ht="18" customHeight="1" thickTop="1" thickBot="1">
      <c r="B42" s="260"/>
      <c r="C42" s="32" t="s">
        <v>40</v>
      </c>
      <c r="D42" s="35">
        <v>0.50489838440734058</v>
      </c>
      <c r="E42" s="35">
        <v>9.2137583207992767E-3</v>
      </c>
      <c r="F42" s="35">
        <v>0.30409714346084399</v>
      </c>
      <c r="G42" s="35">
        <v>-0.21352536477034734</v>
      </c>
      <c r="H42" s="35">
        <v>-0.46508901749161063</v>
      </c>
      <c r="I42" s="35">
        <v>0.4319107251523544</v>
      </c>
      <c r="J42" s="35">
        <v>9.0960481006044591E-2</v>
      </c>
      <c r="K42" s="35">
        <v>-0.43954483288517698</v>
      </c>
      <c r="L42" s="35">
        <v>0.70060840482788767</v>
      </c>
      <c r="M42" s="35">
        <v>0.54664037381750719</v>
      </c>
      <c r="N42" s="35">
        <v>0.45998033170148073</v>
      </c>
      <c r="O42" s="35">
        <v>4.8992270369903723</v>
      </c>
      <c r="P42" s="35">
        <v>0.13304606648544678</v>
      </c>
      <c r="R42" s="44"/>
    </row>
    <row r="43" spans="2:21" s="3" customFormat="1" ht="18" customHeight="1" thickTop="1" thickBot="1">
      <c r="B43" s="260" t="s">
        <v>11</v>
      </c>
      <c r="C43" s="31" t="s">
        <v>65</v>
      </c>
      <c r="D43" s="34">
        <v>53.292462</v>
      </c>
      <c r="E43" s="34">
        <v>42.092849999999999</v>
      </c>
      <c r="F43" s="34">
        <v>50.183585000000001</v>
      </c>
      <c r="G43" s="34">
        <v>44.401761</v>
      </c>
      <c r="H43" s="34">
        <v>60.292286000000004</v>
      </c>
      <c r="I43" s="34">
        <v>61.790720999999991</v>
      </c>
      <c r="J43" s="34">
        <v>61.926943000000009</v>
      </c>
      <c r="K43" s="34">
        <v>48.421593999999999</v>
      </c>
      <c r="L43" s="34">
        <v>69.157161000000002</v>
      </c>
      <c r="M43" s="34">
        <v>73.274557000000016</v>
      </c>
      <c r="N43" s="34">
        <v>57.884045999999998</v>
      </c>
      <c r="O43" s="34">
        <v>73.773319000000001</v>
      </c>
      <c r="P43" s="34">
        <v>696.49128500000006</v>
      </c>
      <c r="R43" s="44"/>
    </row>
    <row r="44" spans="2:21" s="3" customFormat="1" ht="18" customHeight="1" thickTop="1" thickBot="1">
      <c r="B44" s="260"/>
      <c r="C44" s="29" t="s">
        <v>59</v>
      </c>
      <c r="D44" s="34">
        <v>27.311816999999998</v>
      </c>
      <c r="E44" s="34">
        <v>14.628946999999998</v>
      </c>
      <c r="F44" s="34">
        <v>27.122226999999999</v>
      </c>
      <c r="G44" s="34">
        <v>31.293844</v>
      </c>
      <c r="H44" s="34">
        <v>23.622771</v>
      </c>
      <c r="I44" s="34">
        <v>28.187657999999995</v>
      </c>
      <c r="J44" s="34">
        <v>55.182251000000001</v>
      </c>
      <c r="K44" s="34">
        <v>7.3139269999999996</v>
      </c>
      <c r="L44" s="34">
        <v>31.903315999999997</v>
      </c>
      <c r="M44" s="34">
        <v>32.711582999999997</v>
      </c>
      <c r="N44" s="34">
        <v>21.828841999999998</v>
      </c>
      <c r="O44" s="34">
        <v>31.797805</v>
      </c>
      <c r="P44" s="34">
        <v>332.904988</v>
      </c>
      <c r="R44" s="44"/>
    </row>
    <row r="45" spans="2:21" s="3" customFormat="1" ht="18" customHeight="1" thickTop="1" thickBot="1">
      <c r="B45" s="260"/>
      <c r="C45" s="29" t="s">
        <v>60</v>
      </c>
      <c r="D45" s="34">
        <v>1.058211</v>
      </c>
      <c r="E45" s="34">
        <v>-0.44123400000000002</v>
      </c>
      <c r="F45" s="34">
        <v>-1.7117999999999967E-2</v>
      </c>
      <c r="G45" s="34">
        <v>-0.31319500000000006</v>
      </c>
      <c r="H45" s="34">
        <v>-0.46796399999999999</v>
      </c>
      <c r="I45" s="34">
        <v>0.11552600000000002</v>
      </c>
      <c r="J45" s="34">
        <v>-0.53111900000000001</v>
      </c>
      <c r="K45" s="34">
        <v>-0.32869599999999999</v>
      </c>
      <c r="L45" s="34">
        <v>1.2193770000000002</v>
      </c>
      <c r="M45" s="34">
        <v>-1.457233</v>
      </c>
      <c r="N45" s="34">
        <v>-0.30030799999999991</v>
      </c>
      <c r="O45" s="34">
        <v>-0.67820000000000003</v>
      </c>
      <c r="P45" s="34">
        <v>-2.1419529999999996</v>
      </c>
      <c r="R45" s="44"/>
    </row>
    <row r="46" spans="2:21" s="3" customFormat="1" ht="18" customHeight="1" thickTop="1" thickBot="1">
      <c r="B46" s="260"/>
      <c r="C46" s="29" t="s">
        <v>139</v>
      </c>
      <c r="D46" s="34">
        <v>81.662489999999991</v>
      </c>
      <c r="E46" s="34">
        <v>56.280562999999994</v>
      </c>
      <c r="F46" s="34">
        <v>77.288694000000007</v>
      </c>
      <c r="G46" s="34">
        <v>75.382410000000007</v>
      </c>
      <c r="H46" s="34">
        <v>83.44709300000001</v>
      </c>
      <c r="I46" s="34">
        <v>90.093904999999992</v>
      </c>
      <c r="J46" s="34">
        <v>116.578075</v>
      </c>
      <c r="K46" s="34">
        <v>55.406824999999998</v>
      </c>
      <c r="L46" s="34">
        <v>102.27985399999999</v>
      </c>
      <c r="M46" s="34">
        <v>104.528907</v>
      </c>
      <c r="N46" s="34">
        <v>79.412579999999991</v>
      </c>
      <c r="O46" s="34">
        <v>104.89292399999999</v>
      </c>
      <c r="P46" s="34">
        <v>1027.25432</v>
      </c>
      <c r="R46" s="44"/>
    </row>
    <row r="47" spans="2:21" s="3" customFormat="1" ht="18" customHeight="1" thickTop="1" thickBot="1">
      <c r="B47" s="260"/>
      <c r="C47" s="32" t="s">
        <v>40</v>
      </c>
      <c r="D47" s="35">
        <v>0.12749819493263961</v>
      </c>
      <c r="E47" s="35">
        <v>4.6766932345905426E-2</v>
      </c>
      <c r="F47" s="35">
        <v>0.16996537183063301</v>
      </c>
      <c r="G47" s="35">
        <v>-4.6459057073027485E-2</v>
      </c>
      <c r="H47" s="35">
        <v>-0.11538834362850804</v>
      </c>
      <c r="I47" s="35">
        <v>0.22682463735653766</v>
      </c>
      <c r="J47" s="35">
        <v>0.6123077317559138</v>
      </c>
      <c r="K47" s="35">
        <v>-0.39917612252200302</v>
      </c>
      <c r="L47" s="35">
        <v>0.1312158883811719</v>
      </c>
      <c r="M47" s="35">
        <v>-3.8514272086003442E-3</v>
      </c>
      <c r="N47" s="35">
        <v>-5.3808172672813723E-2</v>
      </c>
      <c r="O47" s="35">
        <v>0.29113243843079956</v>
      </c>
      <c r="P47" s="35">
        <v>6.5483507033451419E-2</v>
      </c>
      <c r="R47" s="44"/>
    </row>
    <row r="48" spans="2:21" ht="18" customHeight="1" thickTop="1" thickBot="1">
      <c r="B48" s="260" t="s">
        <v>86</v>
      </c>
      <c r="C48" s="31" t="s">
        <v>65</v>
      </c>
      <c r="D48" s="34">
        <f>+'Impo 2014'!D48-'Expo 2014'!D48</f>
        <v>1.5184560499999984</v>
      </c>
      <c r="E48" s="34">
        <f>+'Impo 2014'!E48-'Expo 2014'!E48</f>
        <v>-0.59862083000000155</v>
      </c>
      <c r="F48" s="34">
        <f>+'Impo 2014'!F48-'Expo 2014'!F48</f>
        <v>4.464043430000002</v>
      </c>
      <c r="G48" s="34">
        <f>+'Impo 2014'!G48-'Expo 2014'!G48</f>
        <v>-2.36179937</v>
      </c>
      <c r="H48" s="34">
        <f>+'Impo 2014'!H48-'Expo 2014'!H48</f>
        <v>4.9396993499999997</v>
      </c>
      <c r="I48" s="34">
        <f>+'Impo 2014'!I48-'Expo 2014'!I48</f>
        <v>5.2700259499999973</v>
      </c>
      <c r="J48" s="34">
        <f>+'Impo 2014'!J48-'Expo 2014'!J48</f>
        <v>4.588004699999999</v>
      </c>
      <c r="K48" s="34">
        <f>+'Impo 2014'!K48-'Expo 2014'!K48</f>
        <v>6.6968561900000028</v>
      </c>
      <c r="L48" s="34">
        <f>+'Impo 2014'!L48-'Expo 2014'!L48</f>
        <v>2.5999394600000008</v>
      </c>
      <c r="M48" s="34">
        <f>+'Impo 2014'!M48-'Expo 2014'!M48</f>
        <v>1.6602851200000002</v>
      </c>
      <c r="N48" s="34">
        <f>+'Impo 2014'!N48-'Expo 2014'!N48</f>
        <v>5.5843987800000008</v>
      </c>
      <c r="O48" s="34">
        <f>+'Impo 2014'!O48-'Expo 2014'!O48</f>
        <v>3.1781382999999996</v>
      </c>
      <c r="P48" s="34">
        <f>+SUM(D48:O48)</f>
        <v>37.53942713</v>
      </c>
      <c r="R48" s="55"/>
      <c r="S48" s="55"/>
      <c r="T48" s="55"/>
      <c r="U48" s="55"/>
    </row>
    <row r="49" spans="2:21" ht="18" customHeight="1" thickTop="1" thickBot="1">
      <c r="B49" s="260"/>
      <c r="C49" s="29" t="s">
        <v>59</v>
      </c>
      <c r="D49" s="34">
        <f>+'Impo 2014'!D49-'Expo 2014'!D49</f>
        <v>5.7831676400000003</v>
      </c>
      <c r="E49" s="34">
        <f>+'Impo 2014'!E49-'Expo 2014'!E49</f>
        <v>19.381971840000002</v>
      </c>
      <c r="F49" s="34">
        <f>+'Impo 2014'!F49-'Expo 2014'!F49</f>
        <v>12.815990559999999</v>
      </c>
      <c r="G49" s="34">
        <f>+'Impo 2014'!G49-'Expo 2014'!G49</f>
        <v>9.1120556599999993</v>
      </c>
      <c r="H49" s="34">
        <f>+'Impo 2014'!H49-'Expo 2014'!H49</f>
        <v>14.33786695</v>
      </c>
      <c r="I49" s="34">
        <f>+'Impo 2014'!I49-'Expo 2014'!I49</f>
        <v>4.1319691499999998</v>
      </c>
      <c r="J49" s="34">
        <f>+'Impo 2014'!J49-'Expo 2014'!J49</f>
        <v>11.493489640000004</v>
      </c>
      <c r="K49" s="34">
        <f>+'Impo 2014'!K49-'Expo 2014'!K49</f>
        <v>13.265601480000003</v>
      </c>
      <c r="L49" s="34">
        <f>+'Impo 2014'!L49-'Expo 2014'!L49</f>
        <v>11.260876879999998</v>
      </c>
      <c r="M49" s="34">
        <f>+'Impo 2014'!M49-'Expo 2014'!M49</f>
        <v>7.3696975799999995</v>
      </c>
      <c r="N49" s="34">
        <f>+'Impo 2014'!N49-'Expo 2014'!N49</f>
        <v>8.8259496000000013</v>
      </c>
      <c r="O49" s="34">
        <f>+'Impo 2014'!O49-'Expo 2014'!O49</f>
        <v>23.015219940000005</v>
      </c>
      <c r="P49" s="34">
        <f>+SUM(D49:O49)</f>
        <v>140.79385692</v>
      </c>
      <c r="R49" s="55"/>
      <c r="S49" s="55"/>
      <c r="T49" s="55"/>
      <c r="U49" s="55"/>
    </row>
    <row r="50" spans="2:21" ht="18" customHeight="1" thickTop="1" thickBot="1">
      <c r="B50" s="260"/>
      <c r="C50" s="29" t="s">
        <v>60</v>
      </c>
      <c r="D50" s="34">
        <f>+'Impo 2014'!D50-'Expo 2014'!D50</f>
        <v>0.41368599</v>
      </c>
      <c r="E50" s="34">
        <f>+'Impo 2014'!E50-'Expo 2014'!E50</f>
        <v>0.35256953000000002</v>
      </c>
      <c r="F50" s="34">
        <f>+'Impo 2014'!F50-'Expo 2014'!F50</f>
        <v>6.9316239999999973E-2</v>
      </c>
      <c r="G50" s="34">
        <f>+'Impo 2014'!G50-'Expo 2014'!G50</f>
        <v>0.51020617999999995</v>
      </c>
      <c r="H50" s="34">
        <f>+'Impo 2014'!H50-'Expo 2014'!H50</f>
        <v>-1.2946179999999974E-2</v>
      </c>
      <c r="I50" s="34">
        <f>+'Impo 2014'!I50-'Expo 2014'!I50</f>
        <v>0.3685985799999999</v>
      </c>
      <c r="J50" s="34">
        <f>+'Impo 2014'!J50-'Expo 2014'!J50</f>
        <v>0.23688645000000008</v>
      </c>
      <c r="K50" s="34">
        <f>+'Impo 2014'!K50-'Expo 2014'!K50</f>
        <v>0.27068132000000006</v>
      </c>
      <c r="L50" s="34">
        <f>+'Impo 2014'!L50-'Expo 2014'!L50</f>
        <v>0.36332089000000001</v>
      </c>
      <c r="M50" s="34">
        <f>+'Impo 2014'!M50-'Expo 2014'!M50</f>
        <v>0.21574258000000007</v>
      </c>
      <c r="N50" s="34">
        <f>+'Impo 2014'!N50-'Expo 2014'!N50</f>
        <v>0.36346400999999995</v>
      </c>
      <c r="O50" s="34">
        <f>+'Impo 2014'!O50-'Expo 2014'!O50</f>
        <v>3.32635375</v>
      </c>
      <c r="P50" s="34">
        <f>+SUM(D50:O50)</f>
        <v>6.4778793400000003</v>
      </c>
      <c r="R50" s="55"/>
      <c r="S50" s="55"/>
      <c r="T50" s="55"/>
      <c r="U50" s="55"/>
    </row>
    <row r="51" spans="2:21" ht="18" customHeight="1" thickTop="1" thickBot="1">
      <c r="B51" s="260"/>
      <c r="C51" s="29" t="s">
        <v>139</v>
      </c>
      <c r="D51" s="34">
        <f>+D48+D49+D50</f>
        <v>7.7153096799999989</v>
      </c>
      <c r="E51" s="34">
        <f t="shared" ref="E51:O51" si="0">+E48+E49+E50</f>
        <v>19.135920540000001</v>
      </c>
      <c r="F51" s="34">
        <f t="shared" si="0"/>
        <v>17.349350229999999</v>
      </c>
      <c r="G51" s="34">
        <f t="shared" si="0"/>
        <v>7.2604624699999993</v>
      </c>
      <c r="H51" s="34">
        <f t="shared" si="0"/>
        <v>19.26462012</v>
      </c>
      <c r="I51" s="34">
        <f t="shared" si="0"/>
        <v>9.7705936799999975</v>
      </c>
      <c r="J51" s="34">
        <f t="shared" si="0"/>
        <v>16.318380790000003</v>
      </c>
      <c r="K51" s="34">
        <f t="shared" si="0"/>
        <v>20.233138990000008</v>
      </c>
      <c r="L51" s="34">
        <f t="shared" si="0"/>
        <v>14.22413723</v>
      </c>
      <c r="M51" s="34">
        <f t="shared" si="0"/>
        <v>9.2457252800000003</v>
      </c>
      <c r="N51" s="34">
        <f t="shared" si="0"/>
        <v>14.773812390000002</v>
      </c>
      <c r="O51" s="34">
        <f t="shared" si="0"/>
        <v>29.519711990000005</v>
      </c>
      <c r="P51" s="34">
        <f>+P48+P49+P50</f>
        <v>184.81116338999999</v>
      </c>
      <c r="Q51" s="4" t="s">
        <v>17</v>
      </c>
      <c r="R51" s="55"/>
      <c r="S51" s="55"/>
      <c r="T51" s="55"/>
      <c r="U51" s="55"/>
    </row>
    <row r="52" spans="2:21" ht="18" customHeight="1" thickTop="1" thickBot="1">
      <c r="B52" s="260"/>
      <c r="C52" s="32" t="s">
        <v>40</v>
      </c>
      <c r="D52" s="35">
        <v>-0.43319687033885268</v>
      </c>
      <c r="E52" s="35">
        <v>0.68090256949673533</v>
      </c>
      <c r="F52" s="35">
        <v>0.16578756498027272</v>
      </c>
      <c r="G52" s="35">
        <v>-0.61112629657900364</v>
      </c>
      <c r="H52" s="35">
        <v>0.82548029342396823</v>
      </c>
      <c r="I52" s="35">
        <v>-0.53437538064445578</v>
      </c>
      <c r="J52" s="35">
        <v>-1.8904229482004948E-3</v>
      </c>
      <c r="K52" s="35">
        <v>0.56494040413737556</v>
      </c>
      <c r="L52" s="35">
        <v>1.7175016432374963</v>
      </c>
      <c r="M52" s="35">
        <v>-0.45972931368616915</v>
      </c>
      <c r="N52" s="35">
        <v>6.7052901119683816E-2</v>
      </c>
      <c r="O52" s="35">
        <v>0.84176570791366834</v>
      </c>
      <c r="P52" s="35">
        <v>7.3638545807361386E-2</v>
      </c>
      <c r="R52" s="14"/>
    </row>
    <row r="53" spans="2:21" ht="18" customHeight="1" thickTop="1" thickBot="1">
      <c r="B53" s="260" t="s">
        <v>43</v>
      </c>
      <c r="C53" s="31" t="s">
        <v>65</v>
      </c>
      <c r="D53" s="171">
        <f>+'Producción Laminados 2014'!D48+'Impo 2014'!D53-'Expo 2014'!D53</f>
        <v>708.11065815200004</v>
      </c>
      <c r="E53" s="171">
        <f>+'Producción Laminados 2014'!E48+'Impo 2014'!E53-'Expo 2014'!E53</f>
        <v>612.95348737599988</v>
      </c>
      <c r="F53" s="171">
        <f>+'Producción Laminados 2014'!F48+'Impo 2014'!F53-'Expo 2014'!F53</f>
        <v>684.78254697499995</v>
      </c>
      <c r="G53" s="171">
        <f>+'Producción Laminados 2014'!G48+'Impo 2014'!G53-'Expo 2014'!G53</f>
        <v>677.70225834500013</v>
      </c>
      <c r="H53" s="171">
        <f>+'Producción Laminados 2014'!H48+'Impo 2014'!H53-'Expo 2014'!H53</f>
        <v>708.71852100599995</v>
      </c>
      <c r="I53" s="171">
        <f>+'Producción Laminados 2014'!I48+'Impo 2014'!I53-'Expo 2014'!I53</f>
        <v>689.30271469800005</v>
      </c>
      <c r="J53" s="171">
        <f>+'Producción Laminados 2014'!J48+'Impo 2014'!J53-'Expo 2014'!J53</f>
        <v>716.60682019199987</v>
      </c>
      <c r="K53" s="171">
        <f>+'Producción Laminados 2014'!K48+'Impo 2014'!K53-'Expo 2014'!K53</f>
        <v>680.56022379800004</v>
      </c>
      <c r="L53" s="171">
        <f>+'Producción Laminados 2014'!L48+'Impo 2014'!L53-'Expo 2014'!L53</f>
        <v>679.33290959700003</v>
      </c>
      <c r="M53" s="171">
        <f>+'Producción Laminados 2014'!M48+'Impo 2014'!M53-'Expo 2014'!M53</f>
        <v>667.29040324700009</v>
      </c>
      <c r="N53" s="171">
        <f>+'Producción Laminados 2014'!N48+'Impo 2014'!N53-'Expo 2014'!N53</f>
        <v>584.54069147199993</v>
      </c>
      <c r="O53" s="171">
        <f>+'Producción Laminados 2014'!O48+'Impo 2014'!O53-'Expo 2014'!O53</f>
        <v>667.04597394799998</v>
      </c>
      <c r="P53" s="34">
        <v>8073.1082471257496</v>
      </c>
      <c r="R53" s="55"/>
      <c r="S53" s="55"/>
      <c r="T53" s="55"/>
      <c r="U53" s="55"/>
    </row>
    <row r="54" spans="2:21" ht="18" customHeight="1" thickTop="1" thickBot="1">
      <c r="B54" s="260"/>
      <c r="C54" s="29" t="s">
        <v>59</v>
      </c>
      <c r="D54" s="171">
        <f>+'Producción Laminados 2014'!D49+'Impo 2014'!D54-'Expo 2014'!D54</f>
        <v>1091.838535932</v>
      </c>
      <c r="E54" s="171">
        <f>+'Producción Laminados 2014'!E49+'Impo 2014'!E54-'Expo 2014'!E54</f>
        <v>1138.6674940739999</v>
      </c>
      <c r="F54" s="171">
        <f>+'Producción Laminados 2014'!F49+'Impo 2014'!F54-'Expo 2014'!F54</f>
        <v>1244.3727336760001</v>
      </c>
      <c r="G54" s="171">
        <f>+'Producción Laminados 2014'!G49+'Impo 2014'!G54-'Expo 2014'!G54</f>
        <v>1247.591289165</v>
      </c>
      <c r="H54" s="171">
        <f>+'Producción Laminados 2014'!H49+'Impo 2014'!H54-'Expo 2014'!H54</f>
        <v>1379.1073585989998</v>
      </c>
      <c r="I54" s="171">
        <f>+'Producción Laminados 2014'!I49+'Impo 2014'!I54-'Expo 2014'!I54</f>
        <v>1225.212206269</v>
      </c>
      <c r="J54" s="171">
        <f>+'Producción Laminados 2014'!J49+'Impo 2014'!J54-'Expo 2014'!J54</f>
        <v>1247.5254726899998</v>
      </c>
      <c r="K54" s="171">
        <f>+'Producción Laminados 2014'!K49+'Impo 2014'!K54-'Expo 2014'!K54</f>
        <v>1376.6930523389999</v>
      </c>
      <c r="L54" s="171">
        <f>+'Producción Laminados 2014'!L49+'Impo 2014'!L54-'Expo 2014'!L54</f>
        <v>1198.200121911</v>
      </c>
      <c r="M54" s="171">
        <f>+'Producción Laminados 2014'!M49+'Impo 2014'!M54-'Expo 2014'!M54</f>
        <v>1327.5196657659999</v>
      </c>
      <c r="N54" s="171">
        <f>+'Producción Laminados 2014'!N49+'Impo 2014'!N54-'Expo 2014'!N54</f>
        <v>1282.3435842210001</v>
      </c>
      <c r="O54" s="171">
        <f>+'Producción Laminados 2014'!O49+'Impo 2014'!O54-'Expo 2014'!O54</f>
        <v>1248.8299765490001</v>
      </c>
      <c r="P54" s="34">
        <f>+SUM(D54:O54)</f>
        <v>15007.901491191002</v>
      </c>
      <c r="R54" s="55"/>
      <c r="S54" s="55"/>
      <c r="T54" s="55"/>
      <c r="U54" s="55"/>
    </row>
    <row r="55" spans="2:21" ht="18" customHeight="1" thickTop="1" thickBot="1">
      <c r="B55" s="260"/>
      <c r="C55" s="29" t="s">
        <v>60</v>
      </c>
      <c r="D55" s="171">
        <f>+'Producción Laminados 2014'!D50+'Impo 2014'!D55-'Expo 2014'!D55</f>
        <v>47.526201990999986</v>
      </c>
      <c r="E55" s="171">
        <f>+'Producción Laminados 2014'!E50+'Impo 2014'!E55-'Expo 2014'!E55</f>
        <v>45.624722505999998</v>
      </c>
      <c r="F55" s="171">
        <f>+'Producción Laminados 2014'!F50+'Impo 2014'!F55-'Expo 2014'!F55</f>
        <v>54.554882226999993</v>
      </c>
      <c r="G55" s="171">
        <f>+'Producción Laminados 2014'!G50+'Impo 2014'!G55-'Expo 2014'!G55</f>
        <v>27.558309174000001</v>
      </c>
      <c r="H55" s="171">
        <f>+'Producción Laminados 2014'!H50+'Impo 2014'!H55-'Expo 2014'!H55</f>
        <v>-8.4043712149999692</v>
      </c>
      <c r="I55" s="171">
        <f>+'Producción Laminados 2014'!I50+'Impo 2014'!I55-'Expo 2014'!I55</f>
        <v>24.394487604999966</v>
      </c>
      <c r="J55" s="171">
        <f>+'Producción Laminados 2014'!J50+'Impo 2014'!J55-'Expo 2014'!J55</f>
        <v>36.792704011000012</v>
      </c>
      <c r="K55" s="171">
        <f>+'Producción Laminados 2014'!K50+'Impo 2014'!K55-'Expo 2014'!K55</f>
        <v>38.032409920000021</v>
      </c>
      <c r="L55" s="171">
        <f>+'Producción Laminados 2014'!L50+'Impo 2014'!L55-'Expo 2014'!L55</f>
        <v>29.272124505999997</v>
      </c>
      <c r="M55" s="171">
        <f>+'Producción Laminados 2014'!M50+'Impo 2014'!M55-'Expo 2014'!M55</f>
        <v>46.613083919000005</v>
      </c>
      <c r="N55" s="171">
        <f>+'Producción Laminados 2014'!N50+'Impo 2014'!N55-'Expo 2014'!N55</f>
        <v>42.288887902000013</v>
      </c>
      <c r="O55" s="171">
        <f>+'Producción Laminados 2014'!O50+'Impo 2014'!O55-'Expo 2014'!O55</f>
        <v>18.670390541000003</v>
      </c>
      <c r="P55" s="34">
        <f>+SUM(D55:O55)</f>
        <v>402.92383308699999</v>
      </c>
      <c r="R55" s="55"/>
      <c r="S55" s="55"/>
      <c r="T55" s="55"/>
      <c r="U55" s="55"/>
    </row>
    <row r="56" spans="2:21" ht="18" customHeight="1" thickTop="1" thickBot="1">
      <c r="B56" s="260"/>
      <c r="C56" s="29" t="s">
        <v>139</v>
      </c>
      <c r="D56" s="34">
        <f>+D53+D54+D55</f>
        <v>1847.4753960749999</v>
      </c>
      <c r="E56" s="171">
        <f t="shared" ref="E56:O56" si="1">+E53+E54+E55</f>
        <v>1797.2457039559997</v>
      </c>
      <c r="F56" s="171">
        <f t="shared" si="1"/>
        <v>1983.7101628779999</v>
      </c>
      <c r="G56" s="171">
        <f t="shared" si="1"/>
        <v>1952.8518566840003</v>
      </c>
      <c r="H56" s="171">
        <f t="shared" si="1"/>
        <v>2079.4215083899994</v>
      </c>
      <c r="I56" s="171">
        <f t="shared" si="1"/>
        <v>1938.9094085720001</v>
      </c>
      <c r="J56" s="171">
        <f t="shared" si="1"/>
        <v>2000.9249968929996</v>
      </c>
      <c r="K56" s="171">
        <f t="shared" si="1"/>
        <v>2095.285686057</v>
      </c>
      <c r="L56" s="171">
        <f t="shared" si="1"/>
        <v>1906.805156014</v>
      </c>
      <c r="M56" s="171">
        <f t="shared" si="1"/>
        <v>2041.423152932</v>
      </c>
      <c r="N56" s="171">
        <f t="shared" si="1"/>
        <v>1909.173163595</v>
      </c>
      <c r="O56" s="171">
        <f t="shared" si="1"/>
        <v>1934.546341038</v>
      </c>
      <c r="P56" s="34">
        <f>+SUM(D56:O56)</f>
        <v>23487.772533084</v>
      </c>
      <c r="Q56" s="4" t="s">
        <v>17</v>
      </c>
      <c r="R56" s="55"/>
      <c r="S56" s="55"/>
      <c r="T56" s="55"/>
      <c r="U56" s="55"/>
    </row>
    <row r="57" spans="2:21" ht="18" customHeight="1" thickTop="1" thickBot="1">
      <c r="B57" s="260"/>
      <c r="C57" s="32" t="s">
        <v>40</v>
      </c>
      <c r="D57" s="35">
        <v>0.27989004919696031</v>
      </c>
      <c r="E57" s="35">
        <v>0.31422902562287891</v>
      </c>
      <c r="F57" s="35">
        <v>0.40236359794097909</v>
      </c>
      <c r="G57" s="35">
        <v>0.45073051114724</v>
      </c>
      <c r="H57" s="35">
        <v>0.46703586709200495</v>
      </c>
      <c r="I57" s="35">
        <v>0.53079056221857113</v>
      </c>
      <c r="J57" s="35">
        <v>0.39787963066678061</v>
      </c>
      <c r="K57" s="35">
        <v>0.38900515301890576</v>
      </c>
      <c r="L57" s="35">
        <v>0.37731536443907421</v>
      </c>
      <c r="M57" s="35">
        <v>0.3944395443263996</v>
      </c>
      <c r="N57" s="35">
        <v>0.39853128550008554</v>
      </c>
      <c r="O57" s="35">
        <v>0.39763999180838633</v>
      </c>
      <c r="P57" s="35">
        <v>0.39878618152024087</v>
      </c>
      <c r="R57" s="14"/>
    </row>
    <row r="58" spans="2:21" s="3" customFormat="1" ht="18" customHeight="1" thickTop="1" thickBot="1">
      <c r="B58" s="260" t="s">
        <v>71</v>
      </c>
      <c r="C58" s="31" t="s">
        <v>65</v>
      </c>
      <c r="D58" s="34">
        <v>20.812096530000005</v>
      </c>
      <c r="E58" s="34">
        <v>41.368048560000013</v>
      </c>
      <c r="F58" s="34">
        <v>17.419285039999998</v>
      </c>
      <c r="G58" s="34">
        <v>47.961476169999997</v>
      </c>
      <c r="H58" s="34">
        <v>25.762457090000005</v>
      </c>
      <c r="I58" s="34">
        <v>49.057808840000007</v>
      </c>
      <c r="J58" s="34">
        <v>18.961531040000001</v>
      </c>
      <c r="K58" s="34">
        <v>29.052356750000005</v>
      </c>
      <c r="L58" s="34">
        <v>105.0056264</v>
      </c>
      <c r="M58" s="34">
        <v>12.988001950000001</v>
      </c>
      <c r="N58" s="34">
        <v>22.140772339999998</v>
      </c>
      <c r="O58" s="34">
        <v>24.212881699999993</v>
      </c>
      <c r="P58" s="34">
        <v>414.74234241000005</v>
      </c>
      <c r="R58" s="44"/>
    </row>
    <row r="59" spans="2:21" s="3" customFormat="1" ht="18" customHeight="1" thickTop="1" thickBot="1">
      <c r="B59" s="260"/>
      <c r="C59" s="29" t="s">
        <v>59</v>
      </c>
      <c r="D59" s="34">
        <v>9.6495949499999973</v>
      </c>
      <c r="E59" s="34">
        <v>16.138760510000001</v>
      </c>
      <c r="F59" s="34">
        <v>14.732670280000001</v>
      </c>
      <c r="G59" s="34">
        <v>8.2732677500000005</v>
      </c>
      <c r="H59" s="34">
        <v>10.302279590000001</v>
      </c>
      <c r="I59" s="34">
        <v>15.105168960000004</v>
      </c>
      <c r="J59" s="34">
        <v>7.3914621699999996</v>
      </c>
      <c r="K59" s="34">
        <v>5.0767977600000007</v>
      </c>
      <c r="L59" s="34">
        <v>20.497243819999998</v>
      </c>
      <c r="M59" s="34">
        <v>18.55970993</v>
      </c>
      <c r="N59" s="34">
        <v>14.131959609999997</v>
      </c>
      <c r="O59" s="34">
        <v>3.8993503700000005</v>
      </c>
      <c r="P59" s="34">
        <v>143.75826570000001</v>
      </c>
      <c r="R59" s="44"/>
    </row>
    <row r="60" spans="2:21" s="3" customFormat="1" ht="18" customHeight="1" thickTop="1" thickBot="1">
      <c r="B60" s="260"/>
      <c r="C60" s="29" t="s">
        <v>60</v>
      </c>
      <c r="D60" s="34">
        <v>0.5927630599999999</v>
      </c>
      <c r="E60" s="34">
        <v>1.00247826</v>
      </c>
      <c r="F60" s="34">
        <v>8.7952710000000003E-2</v>
      </c>
      <c r="G60" s="34">
        <v>0.22972229999999999</v>
      </c>
      <c r="H60" s="34">
        <v>1.3656143299999999</v>
      </c>
      <c r="I60" s="34">
        <v>1.8101270899999999</v>
      </c>
      <c r="J60" s="34">
        <v>0.60593807</v>
      </c>
      <c r="K60" s="34">
        <v>0.36971391000000003</v>
      </c>
      <c r="L60" s="34">
        <v>0.99228110999999997</v>
      </c>
      <c r="M60" s="34">
        <v>7.9121760000000027E-2</v>
      </c>
      <c r="N60" s="34">
        <v>0.49914274999999997</v>
      </c>
      <c r="O60" s="34">
        <v>0.75086215999999995</v>
      </c>
      <c r="P60" s="34">
        <v>8.3857175099999974</v>
      </c>
      <c r="R60" s="44"/>
    </row>
    <row r="61" spans="2:21" s="3" customFormat="1" ht="18" customHeight="1" thickTop="1" thickBot="1">
      <c r="B61" s="260"/>
      <c r="C61" s="29" t="s">
        <v>139</v>
      </c>
      <c r="D61" s="34">
        <v>31.054454540000002</v>
      </c>
      <c r="E61" s="34">
        <v>58.509287330000014</v>
      </c>
      <c r="F61" s="34">
        <v>32.239908030000002</v>
      </c>
      <c r="G61" s="34">
        <v>56.464466219999998</v>
      </c>
      <c r="H61" s="34">
        <v>37.43035101000001</v>
      </c>
      <c r="I61" s="34">
        <v>65.973104890000002</v>
      </c>
      <c r="J61" s="34">
        <v>26.958931280000002</v>
      </c>
      <c r="K61" s="34">
        <v>34.498868420000008</v>
      </c>
      <c r="L61" s="34">
        <v>126.49515132999998</v>
      </c>
      <c r="M61" s="34">
        <v>31.626833640000001</v>
      </c>
      <c r="N61" s="34">
        <v>36.771874699999991</v>
      </c>
      <c r="O61" s="34">
        <v>28.863094229999994</v>
      </c>
      <c r="P61" s="34">
        <v>566.88632561999998</v>
      </c>
      <c r="R61" s="44"/>
    </row>
    <row r="62" spans="2:21" s="3" customFormat="1" ht="18" customHeight="1" thickTop="1" thickBot="1">
      <c r="B62" s="260"/>
      <c r="C62" s="32" t="s">
        <v>40</v>
      </c>
      <c r="D62" s="35">
        <v>-0.21913419885135543</v>
      </c>
      <c r="E62" s="35">
        <v>0.73901132022479177</v>
      </c>
      <c r="F62" s="35">
        <v>-0.11474116075808373</v>
      </c>
      <c r="G62" s="35">
        <v>7.0829959116361002E-2</v>
      </c>
      <c r="H62" s="35">
        <v>-0.70459519038947915</v>
      </c>
      <c r="I62" s="35">
        <v>0.65868879196826924</v>
      </c>
      <c r="J62" s="35">
        <v>-0.50268124512635892</v>
      </c>
      <c r="K62" s="35">
        <v>-0.13987617681121065</v>
      </c>
      <c r="L62" s="35">
        <v>12.527325988170753</v>
      </c>
      <c r="M62" s="35">
        <v>-0.46231023520455555</v>
      </c>
      <c r="N62" s="35">
        <v>-0.48652008024737131</v>
      </c>
      <c r="O62" s="35">
        <v>-0.10734473960705423</v>
      </c>
      <c r="P62" s="35">
        <v>-4.8019951232557097E-2</v>
      </c>
      <c r="R62" s="44"/>
    </row>
    <row r="63" spans="2:21" s="3" customFormat="1" ht="18" customHeight="1" thickTop="1" thickBot="1">
      <c r="B63" s="261" t="s">
        <v>6</v>
      </c>
      <c r="C63" s="31" t="s">
        <v>65</v>
      </c>
      <c r="D63" s="34">
        <v>17.696366800000003</v>
      </c>
      <c r="E63" s="34">
        <v>12.407146780000001</v>
      </c>
      <c r="F63" s="34">
        <v>10.821078530000001</v>
      </c>
      <c r="G63" s="34">
        <v>18.523649079999998</v>
      </c>
      <c r="H63" s="34">
        <v>13.72794991</v>
      </c>
      <c r="I63" s="34">
        <v>14.986753370000001</v>
      </c>
      <c r="J63" s="34">
        <v>11.406716960000001</v>
      </c>
      <c r="K63" s="34">
        <v>25.829127890000002</v>
      </c>
      <c r="L63" s="34">
        <v>11.230168920000001</v>
      </c>
      <c r="M63" s="34">
        <v>24.402932279999998</v>
      </c>
      <c r="N63" s="34">
        <v>5.70133359</v>
      </c>
      <c r="O63" s="34">
        <v>8.6904708699999986</v>
      </c>
      <c r="P63" s="34">
        <v>175.42369497999999</v>
      </c>
      <c r="R63" s="44"/>
    </row>
    <row r="64" spans="2:21" s="3" customFormat="1" ht="18" customHeight="1" thickTop="1" thickBot="1">
      <c r="B64" s="261"/>
      <c r="C64" s="29" t="s">
        <v>59</v>
      </c>
      <c r="D64" s="34">
        <v>13.90564835</v>
      </c>
      <c r="E64" s="34">
        <v>12.88598292</v>
      </c>
      <c r="F64" s="34">
        <v>20.473633100000001</v>
      </c>
      <c r="G64" s="34">
        <v>14.60393739</v>
      </c>
      <c r="H64" s="34">
        <v>22.242938179999996</v>
      </c>
      <c r="I64" s="34">
        <v>22.496693559999997</v>
      </c>
      <c r="J64" s="34">
        <v>21.519605810000002</v>
      </c>
      <c r="K64" s="34">
        <v>17.252525450000004</v>
      </c>
      <c r="L64" s="34">
        <v>14.201055500000001</v>
      </c>
      <c r="M64" s="34">
        <v>24.875117030000002</v>
      </c>
      <c r="N64" s="34">
        <v>17.4311355</v>
      </c>
      <c r="O64" s="34">
        <v>13.472801279999997</v>
      </c>
      <c r="P64" s="34">
        <v>215.36107407</v>
      </c>
      <c r="R64" s="44"/>
    </row>
    <row r="65" spans="2:18" s="3" customFormat="1" ht="18" customHeight="1" thickTop="1" thickBot="1">
      <c r="B65" s="261"/>
      <c r="C65" s="29" t="s">
        <v>60</v>
      </c>
      <c r="D65" s="34">
        <v>0.17210933</v>
      </c>
      <c r="E65" s="34">
        <v>0.14425460000000001</v>
      </c>
      <c r="F65" s="34">
        <v>8.4339600000000001E-2</v>
      </c>
      <c r="G65" s="34">
        <v>27.684752499999998</v>
      </c>
      <c r="H65" s="34">
        <v>3.9076050000000001E-2</v>
      </c>
      <c r="I65" s="34">
        <v>0.28960599999999997</v>
      </c>
      <c r="J65" s="34">
        <v>2.5447999999999998E-2</v>
      </c>
      <c r="K65" s="34">
        <v>6.3328999999999996E-2</v>
      </c>
      <c r="L65" s="34">
        <v>8.0609020000000003E-2</v>
      </c>
      <c r="M65" s="34">
        <v>0.30073591</v>
      </c>
      <c r="N65" s="34">
        <v>8.2657400000000023E-3</v>
      </c>
      <c r="O65" s="34">
        <v>4.1271000000000007E-3</v>
      </c>
      <c r="P65" s="34">
        <v>28.896652849999999</v>
      </c>
      <c r="R65" s="44"/>
    </row>
    <row r="66" spans="2:18" s="3" customFormat="1" ht="18" customHeight="1" thickTop="1" thickBot="1">
      <c r="B66" s="261"/>
      <c r="C66" s="29" t="s">
        <v>139</v>
      </c>
      <c r="D66" s="34">
        <v>31.774124480000005</v>
      </c>
      <c r="E66" s="34">
        <v>25.437384300000002</v>
      </c>
      <c r="F66" s="34">
        <v>31.379051230000002</v>
      </c>
      <c r="G66" s="34">
        <v>60.812338969999999</v>
      </c>
      <c r="H66" s="34">
        <v>36.009964139999994</v>
      </c>
      <c r="I66" s="34">
        <v>37.773052929999999</v>
      </c>
      <c r="J66" s="34">
        <v>32.951770769999996</v>
      </c>
      <c r="K66" s="34">
        <v>43.144982340000006</v>
      </c>
      <c r="L66" s="34">
        <v>25.51183344</v>
      </c>
      <c r="M66" s="34">
        <v>49.57878522</v>
      </c>
      <c r="N66" s="34">
        <v>23.14073483</v>
      </c>
      <c r="O66" s="34">
        <v>22.167399249999999</v>
      </c>
      <c r="P66" s="34">
        <v>419.68142189999998</v>
      </c>
      <c r="R66" s="44"/>
    </row>
    <row r="67" spans="2:18" s="3" customFormat="1" ht="18" customHeight="1" thickTop="1" thickBot="1">
      <c r="B67" s="261"/>
      <c r="C67" s="32" t="s">
        <v>40</v>
      </c>
      <c r="D67" s="35">
        <v>-0.61246130979546753</v>
      </c>
      <c r="E67" s="35">
        <v>-0.23555926737174343</v>
      </c>
      <c r="F67" s="35">
        <v>0.1737937099986723</v>
      </c>
      <c r="G67" s="35">
        <v>0.78395813566077566</v>
      </c>
      <c r="H67" s="35">
        <v>0.76396492782585323</v>
      </c>
      <c r="I67" s="35">
        <v>0.4490639896235763</v>
      </c>
      <c r="J67" s="35">
        <v>0.16955328809038941</v>
      </c>
      <c r="K67" s="35">
        <v>0.294806675500766</v>
      </c>
      <c r="L67" s="35">
        <v>0.20947072104929507</v>
      </c>
      <c r="M67" s="35">
        <v>0.83003359450398184</v>
      </c>
      <c r="N67" s="35">
        <v>-0.59232907330748874</v>
      </c>
      <c r="O67" s="35">
        <v>-0.15779704257469823</v>
      </c>
      <c r="P67" s="35">
        <v>1.046827440265685E-2</v>
      </c>
      <c r="R67" s="44"/>
    </row>
    <row r="68" spans="2:18" s="3" customFormat="1" ht="18" customHeight="1" thickTop="1" thickBot="1">
      <c r="B68" s="261" t="s">
        <v>44</v>
      </c>
      <c r="C68" s="31" t="s">
        <v>65</v>
      </c>
      <c r="D68" s="34">
        <v>156.76686369999999</v>
      </c>
      <c r="E68" s="34">
        <v>195.16872362000001</v>
      </c>
      <c r="F68" s="34">
        <v>138.86138649000003</v>
      </c>
      <c r="G68" s="34">
        <v>148.78675008999997</v>
      </c>
      <c r="H68" s="34">
        <v>198.62623206000001</v>
      </c>
      <c r="I68" s="34">
        <v>144.87493402999996</v>
      </c>
      <c r="J68" s="34">
        <v>158.17113865000002</v>
      </c>
      <c r="K68" s="34">
        <v>120.83444304000004</v>
      </c>
      <c r="L68" s="34">
        <v>162.49183992000002</v>
      </c>
      <c r="M68" s="34">
        <v>165.36438540999995</v>
      </c>
      <c r="N68" s="34">
        <v>159.96598117000005</v>
      </c>
      <c r="O68" s="34">
        <v>163.23835158000003</v>
      </c>
      <c r="P68" s="34">
        <v>1913.1510297600003</v>
      </c>
      <c r="R68" s="44"/>
    </row>
    <row r="69" spans="2:18" s="3" customFormat="1" ht="18" customHeight="1" thickTop="1" thickBot="1">
      <c r="B69" s="261"/>
      <c r="C69" s="29" t="s">
        <v>59</v>
      </c>
      <c r="D69" s="34">
        <v>64.560341650000012</v>
      </c>
      <c r="E69" s="34">
        <v>54.56011557999998</v>
      </c>
      <c r="F69" s="34">
        <v>51.726813119999981</v>
      </c>
      <c r="G69" s="34">
        <v>87.068812660000034</v>
      </c>
      <c r="H69" s="34">
        <v>57.779336629999996</v>
      </c>
      <c r="I69" s="34">
        <v>95.509414449999994</v>
      </c>
      <c r="J69" s="34">
        <v>75.267792669999992</v>
      </c>
      <c r="K69" s="34">
        <v>64.487676080000014</v>
      </c>
      <c r="L69" s="34">
        <v>509.76775508999964</v>
      </c>
      <c r="M69" s="34">
        <v>72.171221739999979</v>
      </c>
      <c r="N69" s="34">
        <v>73.54297262999998</v>
      </c>
      <c r="O69" s="34">
        <v>54.312548830000026</v>
      </c>
      <c r="P69" s="34">
        <v>1260.7548011299996</v>
      </c>
      <c r="R69" s="44"/>
    </row>
    <row r="70" spans="2:18" s="3" customFormat="1" ht="18" customHeight="1" thickTop="1" thickBot="1">
      <c r="B70" s="261"/>
      <c r="C70" s="29" t="s">
        <v>60</v>
      </c>
      <c r="D70" s="34">
        <v>7.3335709700000011</v>
      </c>
      <c r="E70" s="34">
        <v>12.012031759999992</v>
      </c>
      <c r="F70" s="34">
        <v>7.3604227</v>
      </c>
      <c r="G70" s="34">
        <v>3.455533609999998</v>
      </c>
      <c r="H70" s="34">
        <v>6.7247480700000057</v>
      </c>
      <c r="I70" s="34">
        <v>10.985106619999993</v>
      </c>
      <c r="J70" s="34">
        <v>10.514255179999992</v>
      </c>
      <c r="K70" s="34">
        <v>5.635820470000005</v>
      </c>
      <c r="L70" s="34">
        <v>8.622792699999998</v>
      </c>
      <c r="M70" s="34">
        <v>10.713115599999993</v>
      </c>
      <c r="N70" s="34">
        <v>2.1102145799999983</v>
      </c>
      <c r="O70" s="34">
        <v>4.574591980000001</v>
      </c>
      <c r="P70" s="34">
        <v>90.04220423999999</v>
      </c>
      <c r="R70" s="44"/>
    </row>
    <row r="71" spans="2:18" s="3" customFormat="1" ht="18" customHeight="1" thickTop="1" thickBot="1">
      <c r="B71" s="261"/>
      <c r="C71" s="29" t="s">
        <v>139</v>
      </c>
      <c r="D71" s="34">
        <v>228.66077632</v>
      </c>
      <c r="E71" s="34">
        <v>261.74087096</v>
      </c>
      <c r="F71" s="34">
        <v>197.94862230999999</v>
      </c>
      <c r="G71" s="34">
        <v>239.31109635999999</v>
      </c>
      <c r="H71" s="34">
        <v>263.13031676000003</v>
      </c>
      <c r="I71" s="34">
        <v>251.36945509999995</v>
      </c>
      <c r="J71" s="34">
        <v>243.95318649999999</v>
      </c>
      <c r="K71" s="34">
        <v>190.95793959000005</v>
      </c>
      <c r="L71" s="34">
        <v>680.88238770999965</v>
      </c>
      <c r="M71" s="34">
        <v>248.2487227499999</v>
      </c>
      <c r="N71" s="34">
        <v>235.61916838000002</v>
      </c>
      <c r="O71" s="34">
        <v>222.12549239000006</v>
      </c>
      <c r="P71" s="34">
        <v>3263.9480351299994</v>
      </c>
      <c r="R71" s="44"/>
    </row>
    <row r="72" spans="2:18" s="3" customFormat="1" ht="18" customHeight="1" thickTop="1" thickBot="1">
      <c r="B72" s="261"/>
      <c r="C72" s="32" t="s">
        <v>40</v>
      </c>
      <c r="D72" s="35">
        <v>-6.7518479822667871E-2</v>
      </c>
      <c r="E72" s="35">
        <v>0.24918433875846335</v>
      </c>
      <c r="F72" s="35">
        <v>-0.29146029428648484</v>
      </c>
      <c r="G72" s="35">
        <v>0.33697219918527843</v>
      </c>
      <c r="H72" s="35">
        <v>-0.18005580626698731</v>
      </c>
      <c r="I72" s="35">
        <v>3.781677806926987E-2</v>
      </c>
      <c r="J72" s="35">
        <v>-5.036482276820313E-2</v>
      </c>
      <c r="K72" s="35">
        <v>-0.19179984155285854</v>
      </c>
      <c r="L72" s="35">
        <v>2.8266549079292607</v>
      </c>
      <c r="M72" s="35">
        <v>0.22708685383232449</v>
      </c>
      <c r="N72" s="35">
        <v>0.37871999224750452</v>
      </c>
      <c r="O72" s="35">
        <v>-2.2337727685041168E-2</v>
      </c>
      <c r="P72" s="35">
        <v>0.18786505824142036</v>
      </c>
      <c r="R72" s="44"/>
    </row>
    <row r="73" spans="2:18" s="3" customFormat="1" ht="18" customHeight="1" thickTop="1" thickBot="1">
      <c r="B73" s="261" t="s">
        <v>64</v>
      </c>
      <c r="C73" s="31" t="s">
        <v>65</v>
      </c>
      <c r="D73" s="34">
        <v>33.607999999999997</v>
      </c>
      <c r="E73" s="34">
        <v>33.893999999999998</v>
      </c>
      <c r="F73" s="34">
        <v>40.616</v>
      </c>
      <c r="G73" s="34">
        <v>38.832999999999998</v>
      </c>
      <c r="H73" s="34">
        <v>44.140999999999998</v>
      </c>
      <c r="I73" s="34">
        <v>40.768000000000001</v>
      </c>
      <c r="J73" s="34">
        <v>42.935000000000002</v>
      </c>
      <c r="K73" s="34">
        <v>43.058999999999997</v>
      </c>
      <c r="L73" s="34">
        <v>43.752000000000002</v>
      </c>
      <c r="M73" s="34">
        <v>48.606999999999999</v>
      </c>
      <c r="N73" s="34">
        <v>51.548999999999999</v>
      </c>
      <c r="O73" s="34">
        <v>54.125999999999998</v>
      </c>
      <c r="P73" s="34">
        <v>515.88799999999992</v>
      </c>
      <c r="R73" s="44"/>
    </row>
    <row r="74" spans="2:18" s="3" customFormat="1" ht="18" customHeight="1" thickTop="1" thickBot="1">
      <c r="B74" s="261"/>
      <c r="C74" s="29" t="s">
        <v>59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R74" s="44"/>
    </row>
    <row r="75" spans="2:18" s="3" customFormat="1" ht="18" customHeight="1" thickTop="1" thickBot="1">
      <c r="B75" s="261"/>
      <c r="C75" s="29" t="s">
        <v>60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R75" s="44"/>
    </row>
    <row r="76" spans="2:18" s="3" customFormat="1" ht="18" customHeight="1" thickTop="1" thickBot="1">
      <c r="B76" s="261"/>
      <c r="C76" s="29" t="s">
        <v>139</v>
      </c>
      <c r="D76" s="34">
        <v>33.607999999999997</v>
      </c>
      <c r="E76" s="34">
        <v>33.893999999999998</v>
      </c>
      <c r="F76" s="34">
        <v>40.616</v>
      </c>
      <c r="G76" s="34">
        <v>38.832999999999998</v>
      </c>
      <c r="H76" s="34">
        <v>44.140999999999998</v>
      </c>
      <c r="I76" s="34">
        <v>40.768000000000001</v>
      </c>
      <c r="J76" s="34">
        <v>42.935000000000002</v>
      </c>
      <c r="K76" s="34">
        <v>43.058999999999997</v>
      </c>
      <c r="L76" s="34">
        <v>43.752000000000002</v>
      </c>
      <c r="M76" s="34">
        <v>48.606999999999999</v>
      </c>
      <c r="N76" s="34">
        <v>51.548999999999999</v>
      </c>
      <c r="O76" s="34">
        <v>54.125999999999998</v>
      </c>
      <c r="P76" s="34">
        <v>515.88799999999992</v>
      </c>
      <c r="R76" s="44"/>
    </row>
    <row r="77" spans="2:18" s="3" customFormat="1" ht="18" customHeight="1" thickTop="1" thickBot="1">
      <c r="B77" s="261"/>
      <c r="C77" s="32" t="s">
        <v>40</v>
      </c>
      <c r="D77" s="35">
        <v>0.20247593831621866</v>
      </c>
      <c r="E77" s="35">
        <v>-5.2763959532725904E-2</v>
      </c>
      <c r="F77" s="35">
        <v>-7.4533857921360606E-3</v>
      </c>
      <c r="G77" s="35">
        <v>7.0487374572720113E-2</v>
      </c>
      <c r="H77" s="35">
        <v>0.11368739750220766</v>
      </c>
      <c r="I77" s="35">
        <v>-2.014132577032161E-2</v>
      </c>
      <c r="J77" s="35">
        <v>6.6284210003476979E-2</v>
      </c>
      <c r="K77" s="35">
        <v>0.16887453173353592</v>
      </c>
      <c r="L77" s="35">
        <v>0.35383853699291401</v>
      </c>
      <c r="M77" s="35">
        <v>0.2810531586853966</v>
      </c>
      <c r="N77" s="35">
        <v>0.41738843520580715</v>
      </c>
      <c r="O77" s="35">
        <v>0.46286486486486478</v>
      </c>
      <c r="P77" s="35">
        <v>0.1647904051009024</v>
      </c>
      <c r="R77" s="44"/>
    </row>
    <row r="78" spans="2:18" s="3" customFormat="1" ht="18" customHeight="1" thickTop="1" thickBot="1">
      <c r="B78" s="260" t="s">
        <v>7</v>
      </c>
      <c r="C78" s="31" t="s">
        <v>65</v>
      </c>
      <c r="D78" s="34">
        <v>7.5628674</v>
      </c>
      <c r="E78" s="34">
        <v>7.6497246199999998</v>
      </c>
      <c r="F78" s="34">
        <v>12.501635100000001</v>
      </c>
      <c r="G78" s="34">
        <v>9.1044450900000005</v>
      </c>
      <c r="H78" s="34">
        <v>12.79555335</v>
      </c>
      <c r="I78" s="34">
        <v>12.71632659</v>
      </c>
      <c r="J78" s="34">
        <v>12.881171430000002</v>
      </c>
      <c r="K78" s="34">
        <v>10.738962649999999</v>
      </c>
      <c r="L78" s="34">
        <v>11.173825740000002</v>
      </c>
      <c r="M78" s="34">
        <v>10.319064880000001</v>
      </c>
      <c r="N78" s="34">
        <v>9.8731647299999992</v>
      </c>
      <c r="O78" s="34">
        <v>8.8019466699999995</v>
      </c>
      <c r="P78" s="34">
        <v>126.11868825000002</v>
      </c>
      <c r="R78" s="44"/>
    </row>
    <row r="79" spans="2:18" s="3" customFormat="1" ht="18" customHeight="1" thickTop="1" thickBot="1">
      <c r="B79" s="260"/>
      <c r="C79" s="29" t="s">
        <v>59</v>
      </c>
      <c r="D79" s="34">
        <v>7.7942711600000001</v>
      </c>
      <c r="E79" s="34">
        <v>4.485432610000001</v>
      </c>
      <c r="F79" s="34">
        <v>7.8444060000000002</v>
      </c>
      <c r="G79" s="34">
        <v>9.5596569500000008</v>
      </c>
      <c r="H79" s="34">
        <v>9.0085794099999994</v>
      </c>
      <c r="I79" s="34">
        <v>6.6423744799999991</v>
      </c>
      <c r="J79" s="34">
        <v>9.7412123600000058</v>
      </c>
      <c r="K79" s="34">
        <v>7.6727204399999991</v>
      </c>
      <c r="L79" s="34">
        <v>12.466678520000002</v>
      </c>
      <c r="M79" s="34">
        <v>10.046441150000001</v>
      </c>
      <c r="N79" s="34">
        <v>5.6188723799999991</v>
      </c>
      <c r="O79" s="34">
        <v>4.5291378399999997</v>
      </c>
      <c r="P79" s="34">
        <v>95.409783300000029</v>
      </c>
      <c r="R79" s="44"/>
    </row>
    <row r="80" spans="2:18" s="3" customFormat="1" ht="18" customHeight="1" thickTop="1" thickBot="1">
      <c r="B80" s="260"/>
      <c r="C80" s="29" t="s">
        <v>60</v>
      </c>
      <c r="D80" s="34">
        <v>0.13975681000000004</v>
      </c>
      <c r="E80" s="34">
        <v>0.10474350999999998</v>
      </c>
      <c r="F80" s="34">
        <v>3.5700999999999997E-2</v>
      </c>
      <c r="G80" s="34">
        <v>2.8481400000000012E-3</v>
      </c>
      <c r="H80" s="34">
        <v>0.43090538000000006</v>
      </c>
      <c r="I80" s="34">
        <v>0.3233145</v>
      </c>
      <c r="J80" s="34">
        <v>0.11788999000000001</v>
      </c>
      <c r="K80" s="34">
        <v>0.17848718000000002</v>
      </c>
      <c r="L80" s="34">
        <v>0.32891322999999995</v>
      </c>
      <c r="M80" s="34">
        <v>0.22875373000000007</v>
      </c>
      <c r="N80" s="34">
        <v>0.25738968999999995</v>
      </c>
      <c r="O80" s="34">
        <v>0.23834024000000006</v>
      </c>
      <c r="P80" s="34">
        <v>2.3870434</v>
      </c>
      <c r="R80" s="44"/>
    </row>
    <row r="81" spans="2:18" s="3" customFormat="1" ht="18" customHeight="1" thickTop="1" thickBot="1">
      <c r="B81" s="260"/>
      <c r="C81" s="29" t="s">
        <v>139</v>
      </c>
      <c r="D81" s="34">
        <v>15.496895369999999</v>
      </c>
      <c r="E81" s="34">
        <v>12.239900740000001</v>
      </c>
      <c r="F81" s="34">
        <v>20.3817421</v>
      </c>
      <c r="G81" s="34">
        <v>18.666950180000004</v>
      </c>
      <c r="H81" s="34">
        <v>22.23503814</v>
      </c>
      <c r="I81" s="34">
        <v>19.682015569999997</v>
      </c>
      <c r="J81" s="34">
        <v>22.740273780000006</v>
      </c>
      <c r="K81" s="34">
        <v>18.590170269999998</v>
      </c>
      <c r="L81" s="34">
        <v>23.969417490000005</v>
      </c>
      <c r="M81" s="34">
        <v>20.594259760000003</v>
      </c>
      <c r="N81" s="34">
        <v>15.749426799999998</v>
      </c>
      <c r="O81" s="34">
        <v>13.56942475</v>
      </c>
      <c r="P81" s="34">
        <v>223.91551494999999</v>
      </c>
      <c r="R81" s="44"/>
    </row>
    <row r="82" spans="2:18" s="3" customFormat="1" ht="18" customHeight="1" thickTop="1" thickBot="1">
      <c r="B82" s="260"/>
      <c r="C82" s="32" t="s">
        <v>40</v>
      </c>
      <c r="D82" s="35">
        <v>-0.25406374706147777</v>
      </c>
      <c r="E82" s="35">
        <v>-0.20220410657842267</v>
      </c>
      <c r="F82" s="35">
        <v>4.5524050166185831E-3</v>
      </c>
      <c r="G82" s="35">
        <v>-0.19351957258802926</v>
      </c>
      <c r="H82" s="35">
        <v>0.17687555135347341</v>
      </c>
      <c r="I82" s="35">
        <v>-2.7354366752321752E-2</v>
      </c>
      <c r="J82" s="35">
        <v>5.0022126317939487E-2</v>
      </c>
      <c r="K82" s="35">
        <v>6.0274492102441127E-3</v>
      </c>
      <c r="L82" s="35">
        <v>0.47957836041283214</v>
      </c>
      <c r="M82" s="35">
        <v>0.12150558700090594</v>
      </c>
      <c r="N82" s="35">
        <v>-0.25628532627473727</v>
      </c>
      <c r="O82" s="35">
        <v>-0.13077521630645303</v>
      </c>
      <c r="P82" s="35">
        <v>-2.7165889913641654E-2</v>
      </c>
      <c r="R82" s="44"/>
    </row>
    <row r="83" spans="2:18" ht="18" customHeight="1" thickTop="1" thickBot="1">
      <c r="B83" s="260" t="s">
        <v>3</v>
      </c>
      <c r="C83" s="31" t="s">
        <v>65</v>
      </c>
      <c r="D83" s="34">
        <v>112.70202913999999</v>
      </c>
      <c r="E83" s="34">
        <v>57.253821429999995</v>
      </c>
      <c r="F83" s="34">
        <v>48.638571040000002</v>
      </c>
      <c r="G83" s="34">
        <v>101.37086361999999</v>
      </c>
      <c r="H83" s="34">
        <v>73.769279019999985</v>
      </c>
      <c r="I83" s="34">
        <v>54.857916729999999</v>
      </c>
      <c r="J83" s="34">
        <v>59.247886710000003</v>
      </c>
      <c r="K83" s="34">
        <v>54.643834040000002</v>
      </c>
      <c r="L83" s="34">
        <v>79.296428849999998</v>
      </c>
      <c r="M83" s="34">
        <v>63.248154950000007</v>
      </c>
      <c r="N83" s="34">
        <v>78.442919570000001</v>
      </c>
      <c r="O83" s="34">
        <v>83.72372025</v>
      </c>
      <c r="P83" s="34">
        <v>867.19542534999994</v>
      </c>
      <c r="R83" s="14"/>
    </row>
    <row r="84" spans="2:18" ht="18" customHeight="1" thickTop="1" thickBot="1">
      <c r="B84" s="260"/>
      <c r="C84" s="29" t="s">
        <v>59</v>
      </c>
      <c r="D84" s="34">
        <v>119.22236657000001</v>
      </c>
      <c r="E84" s="34">
        <v>87.829279699999987</v>
      </c>
      <c r="F84" s="34">
        <v>57.514051850000008</v>
      </c>
      <c r="G84" s="34">
        <v>83.091439999999992</v>
      </c>
      <c r="H84" s="34">
        <v>39.763200389999994</v>
      </c>
      <c r="I84" s="34">
        <v>60.741848179999998</v>
      </c>
      <c r="J84" s="34">
        <v>55.383963960000003</v>
      </c>
      <c r="K84" s="34">
        <v>68.812626300000005</v>
      </c>
      <c r="L84" s="34">
        <v>63.141761320000001</v>
      </c>
      <c r="M84" s="34">
        <v>127.88696366000001</v>
      </c>
      <c r="N84" s="34">
        <v>69.352816149999995</v>
      </c>
      <c r="O84" s="34">
        <v>84.201854409999967</v>
      </c>
      <c r="P84" s="34">
        <v>916.94217248999996</v>
      </c>
      <c r="R84" s="14"/>
    </row>
    <row r="85" spans="2:18" ht="18" customHeight="1" thickTop="1" thickBot="1">
      <c r="B85" s="260"/>
      <c r="C85" s="29" t="s">
        <v>60</v>
      </c>
      <c r="D85" s="34">
        <v>7.5401560099999996</v>
      </c>
      <c r="E85" s="34">
        <v>37.962833839999995</v>
      </c>
      <c r="F85" s="34">
        <v>106.46237627000002</v>
      </c>
      <c r="G85" s="34">
        <v>11.027080859999998</v>
      </c>
      <c r="H85" s="34">
        <v>33.723230139999998</v>
      </c>
      <c r="I85" s="34">
        <v>11.797461629999997</v>
      </c>
      <c r="J85" s="34">
        <v>21.347451880000008</v>
      </c>
      <c r="K85" s="34">
        <v>14.657691690000004</v>
      </c>
      <c r="L85" s="34">
        <v>15.45545896</v>
      </c>
      <c r="M85" s="34">
        <v>11.825689629999999</v>
      </c>
      <c r="N85" s="34">
        <v>13.998800950000001</v>
      </c>
      <c r="O85" s="34">
        <v>3.0085583599999999</v>
      </c>
      <c r="P85" s="34">
        <v>288.80679021999998</v>
      </c>
      <c r="R85" s="14"/>
    </row>
    <row r="86" spans="2:18" ht="18" customHeight="1" thickTop="1" thickBot="1">
      <c r="B86" s="260"/>
      <c r="C86" s="29" t="s">
        <v>139</v>
      </c>
      <c r="D86" s="34">
        <v>239.46455172</v>
      </c>
      <c r="E86" s="34">
        <v>183.04593496999999</v>
      </c>
      <c r="F86" s="34">
        <v>212.61499916000002</v>
      </c>
      <c r="G86" s="34">
        <v>195.48938448000001</v>
      </c>
      <c r="H86" s="34">
        <v>147.25570954999998</v>
      </c>
      <c r="I86" s="34">
        <v>127.39722654000001</v>
      </c>
      <c r="J86" s="34">
        <v>135.97930255</v>
      </c>
      <c r="K86" s="34">
        <v>138.11415203000001</v>
      </c>
      <c r="L86" s="34">
        <v>157.89364912999997</v>
      </c>
      <c r="M86" s="34">
        <v>202.96080824000001</v>
      </c>
      <c r="N86" s="34">
        <v>161.79453666999999</v>
      </c>
      <c r="O86" s="34">
        <v>170.93413301999996</v>
      </c>
      <c r="P86" s="34">
        <v>2072.9443880600002</v>
      </c>
      <c r="R86" s="14"/>
    </row>
    <row r="87" spans="2:18" ht="18" customHeight="1" thickTop="1" thickBot="1">
      <c r="B87" s="260"/>
      <c r="C87" s="32" t="s">
        <v>40</v>
      </c>
      <c r="D87" s="35">
        <v>-7.2962286826922474E-3</v>
      </c>
      <c r="E87" s="35">
        <v>-0.32801786174900088</v>
      </c>
      <c r="F87" s="35">
        <v>2.6193022358296961E-2</v>
      </c>
      <c r="G87" s="35">
        <v>-0.25016170808100613</v>
      </c>
      <c r="H87" s="35">
        <v>-0.46292969267080242</v>
      </c>
      <c r="I87" s="35">
        <v>-0.47300731070068336</v>
      </c>
      <c r="J87" s="35">
        <v>-0.50947147909327972</v>
      </c>
      <c r="K87" s="35">
        <v>-0.43078249846214717</v>
      </c>
      <c r="L87" s="35">
        <v>-5.9461934762916877E-2</v>
      </c>
      <c r="M87" s="35">
        <v>0.1270823649158753</v>
      </c>
      <c r="N87" s="35">
        <v>0.29236693752804899</v>
      </c>
      <c r="O87" s="35">
        <v>0.2215742020635533</v>
      </c>
      <c r="P87" s="35">
        <v>-0.21191847010667414</v>
      </c>
      <c r="R87" s="14"/>
    </row>
    <row r="88" spans="2:18" s="3" customFormat="1" ht="18" customHeight="1" thickTop="1" thickBot="1">
      <c r="B88" s="261" t="s">
        <v>61</v>
      </c>
      <c r="C88" s="31" t="s">
        <v>65</v>
      </c>
      <c r="D88" s="34">
        <f>+D3+D8+D13+D18+D23+D28+D33+D38+D43+D53+D58+D63+D68+D73+D78+D83+D48</f>
        <v>2576.1614401620004</v>
      </c>
      <c r="E88" s="34">
        <f t="shared" ref="E88:N88" si="2">+E3+E8+E13+E18+E23+E28+E33+E38+E43+E53+E58+E63+E68+E73+E78+E83+E48</f>
        <v>2427.2747078259995</v>
      </c>
      <c r="F88" s="34">
        <f t="shared" si="2"/>
        <v>2653.9138453349997</v>
      </c>
      <c r="G88" s="34">
        <f t="shared" si="2"/>
        <v>2709.094635985</v>
      </c>
      <c r="H88" s="34">
        <f t="shared" si="2"/>
        <v>2813.653957816</v>
      </c>
      <c r="I88" s="34">
        <f t="shared" si="2"/>
        <v>2534.298668808</v>
      </c>
      <c r="J88" s="34">
        <f t="shared" si="2"/>
        <v>2643.3722865319996</v>
      </c>
      <c r="K88" s="34">
        <f t="shared" si="2"/>
        <v>2589.9611849379999</v>
      </c>
      <c r="L88" s="34">
        <f t="shared" si="2"/>
        <v>2661.9277304370003</v>
      </c>
      <c r="M88" s="34">
        <f t="shared" si="2"/>
        <v>2688.0837827970004</v>
      </c>
      <c r="N88" s="34">
        <f t="shared" si="2"/>
        <v>2513.9826557319998</v>
      </c>
      <c r="O88" s="34">
        <f>+O3+O8+O13+O18+O23+O28+O33+O38+O43+O53+O58+O63+O68+O73+O78+O83+O48</f>
        <v>2238.5877126380001</v>
      </c>
      <c r="P88" s="34">
        <f>+P3+P8+P13+P18+P23+P28+P33+P38+P43+P53+P58+P63+P68+P73+P78+P83+P48</f>
        <v>31046.473647325751</v>
      </c>
      <c r="Q88" s="5"/>
      <c r="R88" s="44"/>
    </row>
    <row r="89" spans="2:18" s="3" customFormat="1" ht="18" customHeight="1" thickTop="1" thickBot="1">
      <c r="B89" s="261"/>
      <c r="C89" s="29" t="s">
        <v>59</v>
      </c>
      <c r="D89" s="34">
        <f t="shared" ref="D89:O89" si="3">+D4+D9+D14+D19+D24+D29+D34+D39+D44+D54+D59+D64+D69+D74+D79+D84+D49</f>
        <v>3121.3856585619997</v>
      </c>
      <c r="E89" s="34">
        <f t="shared" si="3"/>
        <v>2971.5619173439995</v>
      </c>
      <c r="F89" s="34">
        <f t="shared" si="3"/>
        <v>3426.5062844260001</v>
      </c>
      <c r="G89" s="34">
        <f t="shared" si="3"/>
        <v>3512.779409884999</v>
      </c>
      <c r="H89" s="34">
        <f t="shared" si="3"/>
        <v>3422.579082279</v>
      </c>
      <c r="I89" s="34">
        <f t="shared" si="3"/>
        <v>3190.4447726190001</v>
      </c>
      <c r="J89" s="34">
        <f t="shared" si="3"/>
        <v>3422.1154496499998</v>
      </c>
      <c r="K89" s="34">
        <f t="shared" si="3"/>
        <v>3308.2330188489996</v>
      </c>
      <c r="L89" s="34">
        <f t="shared" si="3"/>
        <v>3597.0604495810003</v>
      </c>
      <c r="M89" s="34">
        <f t="shared" si="3"/>
        <v>3336.4611815060002</v>
      </c>
      <c r="N89" s="34">
        <f t="shared" si="3"/>
        <v>3046.1676773110003</v>
      </c>
      <c r="O89" s="34">
        <f t="shared" si="3"/>
        <v>2921.2004915890006</v>
      </c>
      <c r="P89" s="34">
        <f>+P4+P9+P14+P19+P24+P29+P34+P39+P44+P54+P59+P64+P69+P74+P79+P84+P49</f>
        <v>39276.495393601006</v>
      </c>
      <c r="Q89" s="5"/>
      <c r="R89" s="44"/>
    </row>
    <row r="90" spans="2:18" s="3" customFormat="1" ht="18" customHeight="1" thickTop="1" thickBot="1">
      <c r="B90" s="261"/>
      <c r="C90" s="29" t="s">
        <v>60</v>
      </c>
      <c r="D90" s="34">
        <f t="shared" ref="D90:P91" si="4">+D5+D10+D15+D20+D25+D30+D35+D40+D45+D55+D60+D65+D70+D75+D80+D85+D50</f>
        <v>122.93815004099996</v>
      </c>
      <c r="E90" s="34">
        <f t="shared" si="4"/>
        <v>111.62756954599998</v>
      </c>
      <c r="F90" s="34">
        <f t="shared" si="4"/>
        <v>246.94542149699998</v>
      </c>
      <c r="G90" s="34">
        <f t="shared" si="4"/>
        <v>143.436595694</v>
      </c>
      <c r="H90" s="34">
        <f t="shared" si="4"/>
        <v>113.03959546500008</v>
      </c>
      <c r="I90" s="34">
        <f t="shared" si="4"/>
        <v>109.10601751499998</v>
      </c>
      <c r="J90" s="34">
        <f t="shared" si="4"/>
        <v>139.23738245099997</v>
      </c>
      <c r="K90" s="34">
        <f t="shared" si="4"/>
        <v>143.02426772000007</v>
      </c>
      <c r="L90" s="34">
        <f t="shared" si="4"/>
        <v>119.24136588599997</v>
      </c>
      <c r="M90" s="34">
        <f t="shared" si="4"/>
        <v>149.13856363900001</v>
      </c>
      <c r="N90" s="34">
        <f t="shared" si="4"/>
        <v>101.90617111200004</v>
      </c>
      <c r="O90" s="34">
        <f t="shared" si="4"/>
        <v>86.476759221000009</v>
      </c>
      <c r="P90" s="34">
        <f>+P5+P10+P15+P20+P25+P30+P35+P40+P45+P55+P60+P65+P70+P75+P80+P85+P50</f>
        <v>1586.1178597870003</v>
      </c>
      <c r="Q90" s="5"/>
      <c r="R90" s="44"/>
    </row>
    <row r="91" spans="2:18" s="3" customFormat="1" ht="18" customHeight="1" thickTop="1" thickBot="1">
      <c r="B91" s="261"/>
      <c r="C91" s="29" t="s">
        <v>139</v>
      </c>
      <c r="D91" s="34">
        <f t="shared" si="4"/>
        <v>5962.6875487649995</v>
      </c>
      <c r="E91" s="34">
        <f t="shared" si="4"/>
        <v>5635.6233242960006</v>
      </c>
      <c r="F91" s="34">
        <f t="shared" si="4"/>
        <v>6254.2106208780015</v>
      </c>
      <c r="G91" s="34">
        <f t="shared" si="4"/>
        <v>6272.556877944</v>
      </c>
      <c r="H91" s="34">
        <f t="shared" si="4"/>
        <v>6413.4551392199983</v>
      </c>
      <c r="I91" s="34">
        <f t="shared" si="4"/>
        <v>5773.0354948020004</v>
      </c>
      <c r="J91" s="34">
        <f t="shared" si="4"/>
        <v>6249.4352750830003</v>
      </c>
      <c r="K91" s="34">
        <f t="shared" si="4"/>
        <v>5936.5068735969999</v>
      </c>
      <c r="L91" s="34">
        <f t="shared" si="4"/>
        <v>6463.1858704040005</v>
      </c>
      <c r="M91" s="34">
        <f t="shared" si="4"/>
        <v>6373.7335852519991</v>
      </c>
      <c r="N91" s="34">
        <f t="shared" si="4"/>
        <v>5693.2796952149993</v>
      </c>
      <c r="O91" s="34">
        <f t="shared" si="4"/>
        <v>5491.5876392579985</v>
      </c>
      <c r="P91" s="34">
        <f t="shared" si="4"/>
        <v>72154.535462393993</v>
      </c>
      <c r="Q91" s="5"/>
      <c r="R91" s="44"/>
    </row>
    <row r="92" spans="2:18" ht="18" customHeight="1" thickTop="1" thickBot="1">
      <c r="B92" s="261"/>
      <c r="C92" s="32" t="s">
        <v>40</v>
      </c>
      <c r="D92" s="35">
        <v>3.1081064733556117E-2</v>
      </c>
      <c r="E92" s="35">
        <v>1.1575742686164589E-2</v>
      </c>
      <c r="F92" s="35">
        <v>6.097417642457318E-2</v>
      </c>
      <c r="G92" s="35">
        <v>-4.4175576540394059E-3</v>
      </c>
      <c r="H92" s="35">
        <v>-1.5332473304713034E-2</v>
      </c>
      <c r="I92" s="35">
        <v>-6.5522917606192152E-3</v>
      </c>
      <c r="J92" s="35">
        <v>-8.8326354388307553E-4</v>
      </c>
      <c r="K92" s="35">
        <v>-5.9889445748631059E-2</v>
      </c>
      <c r="L92" s="35">
        <v>3.099727283866846E-2</v>
      </c>
      <c r="M92" s="35">
        <v>-3.7409099538576143E-2</v>
      </c>
      <c r="N92" s="35">
        <v>3.3107223299840727E-2</v>
      </c>
      <c r="O92" s="35">
        <v>-8.900946399582073E-5</v>
      </c>
      <c r="P92" s="35">
        <v>2.6065166998763844E-3</v>
      </c>
      <c r="Q92" s="6"/>
      <c r="R92" s="14"/>
    </row>
    <row r="93" spans="2:18" ht="13.5" thickTop="1">
      <c r="B93" s="28"/>
    </row>
    <row r="94" spans="2:18">
      <c r="B94" s="25" t="s">
        <v>19</v>
      </c>
      <c r="C94" s="25" t="s">
        <v>19</v>
      </c>
    </row>
    <row r="95" spans="2:18">
      <c r="B95" s="26" t="s">
        <v>12</v>
      </c>
      <c r="C95" s="26" t="s">
        <v>12</v>
      </c>
    </row>
    <row r="96" spans="2:18">
      <c r="B96" s="2" t="s">
        <v>18</v>
      </c>
      <c r="J96" s="7"/>
    </row>
    <row r="97" spans="2:2">
      <c r="B97" s="36" t="s">
        <v>92</v>
      </c>
    </row>
  </sheetData>
  <mergeCells count="18">
    <mergeCell ref="B3:B7"/>
    <mergeCell ref="B13:B17"/>
    <mergeCell ref="B18:B22"/>
    <mergeCell ref="B23:B27"/>
    <mergeCell ref="B28:B32"/>
    <mergeCell ref="B8:B12"/>
    <mergeCell ref="B88:B92"/>
    <mergeCell ref="B33:B37"/>
    <mergeCell ref="B38:B42"/>
    <mergeCell ref="B43:B47"/>
    <mergeCell ref="B53:B57"/>
    <mergeCell ref="B58:B62"/>
    <mergeCell ref="B63:B67"/>
    <mergeCell ref="B68:B72"/>
    <mergeCell ref="B73:B77"/>
    <mergeCell ref="B78:B82"/>
    <mergeCell ref="B83:B87"/>
    <mergeCell ref="B48:B52"/>
  </mergeCells>
  <hyperlinks>
    <hyperlink ref="P1" location="Índice!A1" display="Índice" xr:uid="{00000000-0004-0000-23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41"/>
  <sheetViews>
    <sheetView zoomScale="90" zoomScaleNormal="90" zoomScaleSheetLayoutView="90" workbookViewId="0">
      <selection activeCell="M5" sqref="M5"/>
    </sheetView>
  </sheetViews>
  <sheetFormatPr defaultColWidth="11.42578125" defaultRowHeight="12.75"/>
  <cols>
    <col min="1" max="1" width="2.7109375" style="42" customWidth="1"/>
    <col min="2" max="2" width="35" style="42" customWidth="1"/>
    <col min="3" max="3" width="2.7109375" style="91" customWidth="1"/>
    <col min="4" max="5" width="13.7109375" style="42" customWidth="1"/>
    <col min="6" max="6" width="2.7109375" style="42" customWidth="1"/>
    <col min="7" max="9" width="13.7109375" style="42" customWidth="1"/>
    <col min="10" max="10" width="2.7109375" style="42" customWidth="1"/>
    <col min="11" max="13" width="13.7109375" style="42" customWidth="1"/>
    <col min="14" max="16384" width="11.42578125" style="42"/>
  </cols>
  <sheetData>
    <row r="1" spans="2:20" ht="38.25" customHeight="1">
      <c r="B1" s="22" t="s">
        <v>138</v>
      </c>
      <c r="G1" s="152" t="s">
        <v>41</v>
      </c>
      <c r="M1" s="87" t="s">
        <v>111</v>
      </c>
    </row>
    <row r="2" spans="2:20" ht="18" customHeight="1" thickBot="1">
      <c r="B2" s="88" t="s">
        <v>115</v>
      </c>
      <c r="G2" s="45"/>
    </row>
    <row r="3" spans="2:20" ht="30" customHeight="1" thickTop="1" thickBot="1">
      <c r="D3" s="104">
        <v>2018</v>
      </c>
      <c r="E3" s="104">
        <v>2018</v>
      </c>
      <c r="G3" s="153"/>
      <c r="H3" s="94"/>
      <c r="I3" s="237" t="s">
        <v>35</v>
      </c>
      <c r="J3" s="91"/>
      <c r="K3" s="91"/>
      <c r="L3" s="94"/>
      <c r="M3" s="174" t="s">
        <v>25</v>
      </c>
      <c r="N3" s="177"/>
    </row>
    <row r="4" spans="2:20" ht="30" customHeight="1" thickTop="1">
      <c r="B4" s="21" t="s">
        <v>23</v>
      </c>
      <c r="C4" s="92"/>
      <c r="D4" s="237" t="s">
        <v>199</v>
      </c>
      <c r="E4" s="237" t="s">
        <v>34</v>
      </c>
      <c r="F4" s="101"/>
      <c r="G4" s="74">
        <v>2018</v>
      </c>
      <c r="H4" s="74">
        <v>2017</v>
      </c>
      <c r="I4" s="95" t="s">
        <v>196</v>
      </c>
      <c r="J4" s="101"/>
      <c r="K4" s="174">
        <v>2018</v>
      </c>
      <c r="L4" s="174">
        <v>2017</v>
      </c>
      <c r="M4" s="95" t="s">
        <v>196</v>
      </c>
      <c r="N4" s="177"/>
    </row>
    <row r="5" spans="2:20" ht="18" customHeight="1">
      <c r="B5" s="89" t="s">
        <v>116</v>
      </c>
      <c r="D5" s="103">
        <f>+HLOOKUP(D$4,'Producción Acero Crudo 2018'!$C$2:$P$62,60,FALSE)</f>
        <v>5603.0777999999991</v>
      </c>
      <c r="E5" s="103">
        <f>+HLOOKUP(E$4,'Producción Acero Crudo 2018'!$C$2:$P$62,60,FALSE)</f>
        <v>5275.3356000000003</v>
      </c>
      <c r="F5" s="179"/>
      <c r="G5" s="103">
        <f>+HLOOKUP(I$3,'Producción Acero Crudo 2018'!$C$2:$P$62,60,FALSE)</f>
        <v>5023.2709259999992</v>
      </c>
      <c r="H5" s="103">
        <f>+HLOOKUP(I$3,'Producción Acero Crudo 2017'!$C$2:$P$62,60,FALSE)</f>
        <v>5274.8798529999995</v>
      </c>
      <c r="I5" s="109">
        <f t="shared" ref="I5:I11" si="0">(G5-H5)/H5</f>
        <v>-4.7699461222211886E-2</v>
      </c>
      <c r="J5" s="104"/>
      <c r="K5" s="103">
        <f>+HLOOKUP(M$3,'Producción Acero Crudo 2018'!$C$2:$P$62,60,FALSE)</f>
        <v>65103.48920141589</v>
      </c>
      <c r="L5" s="103">
        <f ca="1">+SUM('Producción Acero Crudo 2017'!$D61:OFFSET('Producción Acero Crudo 2017'!$D61,0,Índice!$Y$4))</f>
        <v>64228.720992803988</v>
      </c>
      <c r="M5" s="175">
        <f ca="1">(K5-L5)/L5</f>
        <v>1.3619580073996938E-2</v>
      </c>
      <c r="N5" s="233">
        <f>+(G5-E5)/G5</f>
        <v>-5.0179390622818489E-2</v>
      </c>
    </row>
    <row r="6" spans="2:20" ht="18" customHeight="1">
      <c r="B6" s="90" t="s">
        <v>117</v>
      </c>
      <c r="D6" s="99">
        <f>+HLOOKUP(D$4,'Producción Acero Crudo 2018'!$C$2:$P$62,58,FALSE)</f>
        <v>2429.4479999999999</v>
      </c>
      <c r="E6" s="99">
        <f>+HLOOKUP(E$4,'Producción Acero Crudo 2018'!$C$2:$P$62,58,FALSE)</f>
        <v>2267.1732000000002</v>
      </c>
      <c r="F6" s="179"/>
      <c r="G6" s="99">
        <f>+HLOOKUP(I$3,'Producción Acero Crudo 2018'!$C$2:$P$62,58,FALSE)</f>
        <v>1940.0839260000002</v>
      </c>
      <c r="H6" s="99">
        <f>+HLOOKUP(I$3,'Producción Acero Crudo 2017'!$C$2:$P$62,58,FALSE)</f>
        <v>2157.455226</v>
      </c>
      <c r="I6" s="106">
        <f t="shared" si="0"/>
        <v>-0.10075356252144062</v>
      </c>
      <c r="J6" s="101"/>
      <c r="K6" s="99">
        <f>+HLOOKUP(M$3,'Producción Acero Crudo 2018'!$C$2:$P$62,58,FALSE)</f>
        <v>28478.515027400001</v>
      </c>
      <c r="L6" s="99">
        <f ca="1">+SUM('Producción Acero Crudo 2017'!$D59:OFFSET('Producción Acero Crudo 2017'!$D59,0,Índice!$Y$4))</f>
        <v>27988.140063064006</v>
      </c>
      <c r="M6" s="107">
        <f t="shared" ref="M6:M11" ca="1" si="1">(K6-L6)/L6</f>
        <v>1.7520812859699236E-2</v>
      </c>
      <c r="N6" s="233"/>
    </row>
    <row r="7" spans="2:20" ht="18" customHeight="1" thickBot="1">
      <c r="B7" s="90" t="s">
        <v>118</v>
      </c>
      <c r="D7" s="99">
        <f>+HLOOKUP(D$4,'Producción Acero Crudo 2018'!$C$2:$P$62,59,FALSE)</f>
        <v>3066.0677999999998</v>
      </c>
      <c r="E7" s="99">
        <f>+HLOOKUP(E$4,'Producción Acero Crudo 2018'!$C$2:$P$62,59,FALSE)</f>
        <v>2900.1623999999997</v>
      </c>
      <c r="F7" s="179"/>
      <c r="G7" s="99">
        <f>+HLOOKUP(I$3,'Producción Acero Crudo 2018'!$C$2:$P$62,59,FALSE)</f>
        <v>2982.1870000000004</v>
      </c>
      <c r="H7" s="99">
        <f>+HLOOKUP(I$3,'Producción Acero Crudo 2017'!$C$2:$P$62,59,FALSE)</f>
        <v>3015.3712</v>
      </c>
      <c r="I7" s="107">
        <f t="shared" si="0"/>
        <v>-1.1005013246793526E-2</v>
      </c>
      <c r="J7" s="101"/>
      <c r="K7" s="99">
        <f>+HLOOKUP(M$3,'Producción Acero Crudo 2018'!$C$2:$P$62,59,FALSE)</f>
        <v>35405.964700000004</v>
      </c>
      <c r="L7" s="99">
        <f ca="1">+SUM('Producción Acero Crudo 2017'!$D60:OFFSET('Producción Acero Crudo 2017'!$D60,0,Índice!$Y$4))</f>
        <v>34987.822499000002</v>
      </c>
      <c r="M7" s="107">
        <f t="shared" ca="1" si="1"/>
        <v>1.1951078150460877E-2</v>
      </c>
      <c r="N7" s="233"/>
    </row>
    <row r="8" spans="2:20" ht="18" customHeight="1" thickTop="1">
      <c r="B8" s="96" t="s">
        <v>119</v>
      </c>
      <c r="C8" s="92"/>
      <c r="D8" s="98">
        <f>+D9+D10+D11</f>
        <v>4600.9363620000004</v>
      </c>
      <c r="E8" s="98">
        <f>+E9+E10+E11</f>
        <v>4338.9545750000007</v>
      </c>
      <c r="F8" s="179"/>
      <c r="G8" s="98">
        <f>+G9+G10+G11</f>
        <v>3993.3096670000009</v>
      </c>
      <c r="H8" s="98">
        <f>+H9+H10+H11</f>
        <v>4329.7045006409971</v>
      </c>
      <c r="I8" s="105">
        <f t="shared" si="0"/>
        <v>-7.7694640267296347E-2</v>
      </c>
      <c r="J8" s="104"/>
      <c r="K8" s="98">
        <f>+K9+K10+K11</f>
        <v>53772.515938493998</v>
      </c>
      <c r="L8" s="98">
        <f ca="1">+SUM('Producción Laminados 2017'!$D81:OFFSET('Producción Laminados 2017'!$D81,0,Índice!$Y$4))</f>
        <v>52887.271136805997</v>
      </c>
      <c r="M8" s="176">
        <f t="shared" ca="1" si="1"/>
        <v>1.6738333868618335E-2</v>
      </c>
      <c r="N8" s="215">
        <f>+K8-G8</f>
        <v>49779.206271493997</v>
      </c>
      <c r="O8" s="45"/>
    </row>
    <row r="9" spans="2:20" ht="18" customHeight="1">
      <c r="B9" s="90" t="s">
        <v>145</v>
      </c>
      <c r="D9" s="100">
        <f>+HLOOKUP(D$4,'Producción Laminados 2018'!$C$2:$P$82,77,FALSE)</f>
        <v>2215.3403619999999</v>
      </c>
      <c r="E9" s="100">
        <f>+HLOOKUP(E$4,'Producción Laminados 2018'!$C$2:$P$82,77,FALSE)</f>
        <v>2114.2815750000004</v>
      </c>
      <c r="F9" s="179"/>
      <c r="G9" s="100">
        <f>+HLOOKUP(I$3,'Producción Laminados 2018'!$C$2:$P$82,77,FALSE)</f>
        <v>1863.5186670000012</v>
      </c>
      <c r="H9" s="100">
        <f>+HLOOKUP(I$3,'Producción Laminados 2017'!$C$2:$P$82,77,FALSE)</f>
        <v>2033.167346081997</v>
      </c>
      <c r="I9" s="106">
        <f t="shared" si="0"/>
        <v>-8.3440588109442312E-2</v>
      </c>
      <c r="J9" s="102"/>
      <c r="K9" s="100">
        <f>+HLOOKUP(M$3,'Producción Laminados 2018'!$C$2:$P$82,77,FALSE)</f>
        <v>25905.25985884</v>
      </c>
      <c r="L9" s="100">
        <f ca="1">+SUM('Producción Laminados 2017'!$D78:OFFSET('Producción Laminados 2017'!$D78,0,Índice!$Y$4))</f>
        <v>25405.633738422996</v>
      </c>
      <c r="M9" s="106">
        <f t="shared" ca="1" si="1"/>
        <v>1.9665957777757738E-2</v>
      </c>
      <c r="N9" s="216">
        <f>+K9/$K$8</f>
        <v>0.48175651458211322</v>
      </c>
      <c r="O9" s="236"/>
    </row>
    <row r="10" spans="2:20" ht="18" customHeight="1">
      <c r="B10" s="90" t="s">
        <v>146</v>
      </c>
      <c r="D10" s="99">
        <f>+HLOOKUP(D$4,'Producción Laminados 2018'!$C$2:$P$82,78,FALSE)</f>
        <v>2238.076</v>
      </c>
      <c r="E10" s="99">
        <f>+HLOOKUP(E$4,'Producción Laminados 2018'!$C$2:$P$82,78,FALSE)</f>
        <v>2094.5360000000001</v>
      </c>
      <c r="F10" s="179"/>
      <c r="G10" s="99">
        <f>+HLOOKUP(I$3,'Producción Laminados 2018'!$C$2:$P$82,78,FALSE)</f>
        <v>2025.3700000000001</v>
      </c>
      <c r="H10" s="99">
        <f>+HLOOKUP(I$3,'Producción Laminados 2017'!$C$2:$P$82,78,FALSE)</f>
        <v>2148.7191545589999</v>
      </c>
      <c r="I10" s="107">
        <f t="shared" si="0"/>
        <v>-5.740589890367305E-2</v>
      </c>
      <c r="J10" s="101"/>
      <c r="K10" s="99">
        <f>+HLOOKUP(M$3,'Producción Laminados 2018'!$C$2:$P$82,78,FALSE)</f>
        <v>26203.997079654</v>
      </c>
      <c r="L10" s="99">
        <f ca="1">+SUM('Producción Laminados 2017'!$D79:OFFSET('Producción Laminados 2017'!$D79,0,Índice!$Y$4))</f>
        <v>25921.638398382995</v>
      </c>
      <c r="M10" s="107">
        <f t="shared" ca="1" si="1"/>
        <v>1.0892779111085014E-2</v>
      </c>
      <c r="N10" s="216">
        <f t="shared" ref="N10:N11" si="2">+K10/$K$8</f>
        <v>0.48731208912795931</v>
      </c>
    </row>
    <row r="11" spans="2:20" ht="18" customHeight="1">
      <c r="B11" s="97" t="s">
        <v>60</v>
      </c>
      <c r="D11" s="143">
        <f>+HLOOKUP(D$4,'Producción Laminados 2018'!$C$2:$P$82,79,FALSE)</f>
        <v>147.52000000000001</v>
      </c>
      <c r="E11" s="143">
        <f>+HLOOKUP(E$4,'Producción Laminados 2018'!$C$2:$P$82,79,FALSE)</f>
        <v>130.137</v>
      </c>
      <c r="F11" s="179"/>
      <c r="G11" s="143">
        <f>+HLOOKUP(I$3,'Producción Laminados 2018'!$C$2:$P$82,79,FALSE)</f>
        <v>104.42099999999999</v>
      </c>
      <c r="H11" s="143">
        <f>+HLOOKUP(I$3,'Producción Laminados 2017'!$C$2:$P$82,79,FALSE)</f>
        <v>147.81799999999998</v>
      </c>
      <c r="I11" s="108">
        <f t="shared" si="0"/>
        <v>-0.29358400194834183</v>
      </c>
      <c r="J11" s="102"/>
      <c r="K11" s="234">
        <f>+HLOOKUP(M$3,'Producción Laminados 2018'!$C$2:$P$82,79,FALSE)</f>
        <v>1663.259</v>
      </c>
      <c r="L11" s="234">
        <f ca="1">+SUM('Producción Laminados 2017'!$D80:OFFSET('Producción Laminados 2017'!$D80,0,Índice!$Y$4))</f>
        <v>1559.9989999999998</v>
      </c>
      <c r="M11" s="108">
        <f t="shared" ca="1" si="1"/>
        <v>6.6192350123301505E-2</v>
      </c>
      <c r="N11" s="216">
        <f t="shared" si="2"/>
        <v>3.0931396289927488E-2</v>
      </c>
    </row>
    <row r="12" spans="2:20" ht="18" customHeight="1">
      <c r="D12" s="189"/>
      <c r="E12" s="189"/>
      <c r="F12" s="189"/>
      <c r="G12" s="184">
        <f>+(G5-E5)/E5</f>
        <v>-4.778173240769764E-2</v>
      </c>
      <c r="H12" s="189"/>
      <c r="I12" s="189"/>
      <c r="J12" s="189"/>
      <c r="K12" s="189"/>
      <c r="L12" s="189"/>
      <c r="M12" s="189"/>
      <c r="N12" s="177"/>
      <c r="O12" s="144"/>
      <c r="T12" s="42" t="s">
        <v>41</v>
      </c>
    </row>
    <row r="13" spans="2:20" ht="18" customHeight="1">
      <c r="G13" s="184">
        <f>+(G8-E8)/E8</f>
        <v>-7.966087268844009E-2</v>
      </c>
    </row>
    <row r="14" spans="2:20" ht="18" customHeight="1"/>
    <row r="15" spans="2:20" ht="18" customHeight="1"/>
    <row r="16" spans="2:20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18" customHeight="1"/>
    <row r="22" spans="1:15" ht="18" customHeight="1"/>
    <row r="23" spans="1:15" ht="18" customHeight="1"/>
    <row r="24" spans="1:15" ht="18" customHeight="1"/>
    <row r="25" spans="1:15" ht="18" customHeight="1"/>
    <row r="26" spans="1:15" ht="18" customHeight="1"/>
    <row r="27" spans="1:15" ht="18" customHeight="1"/>
    <row r="28" spans="1:15" ht="18" customHeight="1"/>
    <row r="29" spans="1:15" ht="18" customHeight="1"/>
    <row r="30" spans="1:15" ht="18" customHeight="1"/>
    <row r="31" spans="1:15" ht="18" customHeight="1"/>
    <row r="32" spans="1:15" ht="18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0"/>
      <c r="O32" s="110"/>
    </row>
    <row r="33" spans="1:15" ht="18" customHeight="1">
      <c r="A33" s="110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110"/>
    </row>
    <row r="34" spans="1:15" ht="18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4"/>
      <c r="O34" s="110"/>
    </row>
    <row r="35" spans="1:15" ht="18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  <c r="O35" s="110"/>
    </row>
    <row r="36" spans="1:15" ht="18" customHeight="1">
      <c r="A36" s="113"/>
      <c r="B36" s="116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  <c r="O36" s="110"/>
    </row>
    <row r="37" spans="1:15" ht="18" customHeight="1">
      <c r="A37" s="11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114"/>
      <c r="O37" s="110"/>
    </row>
    <row r="38" spans="1:15" ht="18" customHeight="1">
      <c r="A38" s="11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14"/>
      <c r="O38" s="110"/>
    </row>
    <row r="39" spans="1:15" ht="18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0"/>
    </row>
    <row r="40" spans="1:15" ht="18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</row>
    <row r="41" spans="1:15" ht="18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ht="18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ht="18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ht="18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1:15" ht="18" customHeight="1"/>
    <row r="46" spans="1:15" ht="18" customHeight="1"/>
    <row r="47" spans="1:15" ht="18" customHeight="1"/>
    <row r="48" spans="1:15" ht="18" customHeight="1"/>
    <row r="49" spans="1:13" ht="18" customHeight="1"/>
    <row r="50" spans="1:13" ht="18" customHeight="1"/>
    <row r="51" spans="1:13" ht="18" customHeight="1"/>
    <row r="52" spans="1:13" ht="18" customHeight="1"/>
    <row r="53" spans="1:13" ht="18" customHeight="1"/>
    <row r="54" spans="1:13" ht="18" customHeight="1"/>
    <row r="55" spans="1:13" s="110" customFormat="1" ht="18" customHeight="1"/>
    <row r="56" spans="1:13" s="110" customFormat="1" ht="18" customHeight="1"/>
    <row r="57" spans="1:13" s="110" customFormat="1" ht="18" customHeight="1"/>
    <row r="58" spans="1:13" s="110" customFormat="1" ht="18" customHeight="1"/>
    <row r="59" spans="1:13" s="110" customFormat="1" ht="18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1:13" s="110" customFormat="1" ht="18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</row>
    <row r="61" spans="1:13" s="110" customFormat="1" ht="18" customHeight="1">
      <c r="A61" s="11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1:13" s="110" customFormat="1" ht="18" customHeight="1">
      <c r="A62" s="11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1:13" s="110" customFormat="1" ht="18" customHeight="1"/>
    <row r="64" spans="1:13" s="110" customFormat="1" ht="18" customHeight="1"/>
    <row r="65" s="110" customFormat="1" ht="18" customHeight="1"/>
    <row r="66" s="110" customFormat="1" ht="18" customHeight="1"/>
    <row r="67" s="110" customFormat="1" ht="18" customHeight="1"/>
    <row r="68" s="110" customFormat="1" ht="18" customHeight="1"/>
    <row r="69" s="110" customFormat="1" ht="18" customHeight="1"/>
    <row r="70" s="110" customFormat="1" ht="18" customHeight="1"/>
    <row r="71" s="110" customFormat="1" ht="18" customHeight="1"/>
    <row r="72" s="110" customFormat="1" ht="18" customHeight="1"/>
    <row r="73" s="110" customFormat="1" ht="18" customHeight="1"/>
    <row r="74" s="110" customFormat="1" ht="18" customHeight="1"/>
    <row r="75" s="110" customFormat="1" ht="18" customHeight="1"/>
    <row r="76" s="110" customFormat="1" ht="18" customHeight="1"/>
    <row r="77" s="110" customFormat="1" ht="18" customHeight="1"/>
    <row r="78" s="110" customFormat="1" ht="18" customHeight="1"/>
    <row r="79" s="110" customFormat="1" ht="18" customHeight="1"/>
    <row r="80" s="110" customFormat="1" ht="18" customHeight="1"/>
    <row r="81" spans="2:13" s="110" customFormat="1" ht="18" customHeight="1"/>
    <row r="82" spans="2:13" s="110" customFormat="1" ht="18" customHeight="1"/>
    <row r="83" spans="2:13" s="110" customFormat="1" ht="18" customHeight="1"/>
    <row r="84" spans="2:13" s="110" customFormat="1" ht="18" customHeight="1"/>
    <row r="85" spans="2:13" s="110" customFormat="1" ht="18" customHeight="1"/>
    <row r="86" spans="2:13" s="110" customFormat="1"/>
    <row r="87" spans="2:13" s="110" customFormat="1"/>
    <row r="88" spans="2:13" s="110" customFormat="1"/>
    <row r="89" spans="2:13" s="110" customFormat="1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2:13" s="110" customFormat="1"/>
    <row r="91" spans="2:13" s="110" customFormat="1"/>
    <row r="92" spans="2:13" s="110" customFormat="1"/>
    <row r="93" spans="2:13" s="110" customFormat="1"/>
    <row r="94" spans="2:13" s="110" customFormat="1"/>
    <row r="95" spans="2:13" s="110" customFormat="1"/>
    <row r="96" spans="2:13" s="110" customFormat="1"/>
    <row r="97" s="110" customFormat="1"/>
    <row r="98" s="110" customFormat="1"/>
    <row r="99" s="110" customFormat="1"/>
    <row r="100" s="110" customFormat="1"/>
    <row r="101" s="110" customFormat="1"/>
    <row r="102" s="110" customFormat="1"/>
    <row r="103" s="110" customFormat="1"/>
    <row r="104" s="110" customFormat="1"/>
    <row r="105" s="110" customFormat="1"/>
    <row r="106" s="110" customFormat="1"/>
    <row r="107" s="110" customFormat="1"/>
    <row r="108" s="110" customFormat="1"/>
    <row r="109" s="110" customFormat="1"/>
    <row r="110" s="110" customFormat="1"/>
    <row r="111" s="110" customFormat="1"/>
    <row r="112" s="110" customFormat="1"/>
    <row r="113" s="110" customFormat="1"/>
    <row r="114" s="110" customFormat="1"/>
    <row r="115" s="110" customFormat="1"/>
    <row r="116" s="110" customFormat="1"/>
    <row r="117" s="110" customFormat="1"/>
    <row r="118" s="110" customFormat="1"/>
    <row r="119" s="110" customFormat="1"/>
    <row r="120" s="110" customFormat="1"/>
    <row r="121" s="110" customFormat="1"/>
    <row r="122" s="110" customFormat="1"/>
    <row r="123" s="110" customFormat="1"/>
    <row r="124" s="110" customFormat="1"/>
    <row r="125" s="110" customFormat="1"/>
    <row r="126" s="110" customFormat="1"/>
    <row r="127" s="110" customFormat="1"/>
    <row r="128" s="110" customFormat="1"/>
    <row r="129" s="110" customFormat="1"/>
    <row r="130" s="110" customFormat="1"/>
    <row r="131" s="110" customFormat="1"/>
    <row r="132" s="110" customFormat="1"/>
    <row r="133" s="110" customFormat="1"/>
    <row r="134" s="110" customFormat="1"/>
    <row r="135" s="110" customFormat="1"/>
    <row r="136" s="110" customFormat="1"/>
    <row r="137" s="110" customFormat="1"/>
    <row r="138" s="110" customFormat="1"/>
    <row r="139" s="110" customFormat="1"/>
    <row r="140" s="110" customFormat="1"/>
    <row r="141" s="110" customFormat="1"/>
    <row r="142" s="110" customFormat="1"/>
    <row r="143" s="110" customFormat="1"/>
    <row r="144" s="110" customFormat="1"/>
    <row r="145" s="110" customFormat="1"/>
    <row r="146" s="110" customFormat="1"/>
    <row r="147" s="110" customFormat="1"/>
    <row r="148" s="110" customFormat="1"/>
    <row r="149" s="110" customFormat="1"/>
    <row r="150" s="110" customFormat="1"/>
    <row r="151" s="110" customFormat="1"/>
    <row r="152" s="110" customFormat="1"/>
    <row r="153" s="110" customFormat="1"/>
    <row r="154" s="110" customFormat="1"/>
    <row r="155" s="110" customFormat="1"/>
    <row r="156" s="110" customFormat="1"/>
    <row r="157" s="110" customFormat="1"/>
    <row r="158" s="110" customFormat="1"/>
    <row r="159" s="110" customFormat="1"/>
    <row r="160" s="110" customFormat="1"/>
    <row r="161" s="110" customFormat="1"/>
    <row r="162" s="110" customFormat="1"/>
    <row r="163" s="110" customFormat="1"/>
    <row r="164" s="110" customFormat="1"/>
    <row r="165" s="110" customFormat="1"/>
    <row r="166" s="110" customFormat="1"/>
    <row r="167" s="110" customFormat="1"/>
    <row r="168" s="110" customFormat="1"/>
    <row r="169" s="110" customFormat="1"/>
    <row r="170" s="110" customFormat="1"/>
    <row r="171" s="110" customFormat="1"/>
    <row r="172" s="110" customFormat="1"/>
    <row r="173" s="110" customFormat="1"/>
    <row r="174" s="110" customFormat="1"/>
    <row r="175" s="110" customFormat="1"/>
    <row r="176" s="110" customFormat="1"/>
    <row r="177" s="110" customFormat="1"/>
    <row r="178" s="110" customFormat="1"/>
    <row r="179" s="110" customFormat="1"/>
    <row r="180" s="110" customFormat="1"/>
    <row r="181" s="110" customFormat="1"/>
    <row r="182" s="110" customFormat="1"/>
    <row r="183" s="110" customFormat="1"/>
    <row r="184" s="110" customFormat="1"/>
    <row r="185" s="110" customFormat="1"/>
    <row r="186" s="110" customFormat="1"/>
    <row r="187" s="110" customFormat="1"/>
    <row r="188" s="110" customFormat="1"/>
    <row r="189" s="110" customFormat="1"/>
    <row r="190" s="110" customFormat="1"/>
    <row r="191" s="110" customFormat="1"/>
    <row r="192" s="110" customFormat="1"/>
    <row r="193" s="110" customFormat="1"/>
    <row r="194" s="110" customFormat="1"/>
    <row r="195" s="110" customFormat="1"/>
    <row r="196" s="110" customFormat="1"/>
    <row r="197" s="110" customFormat="1"/>
    <row r="198" s="110" customFormat="1"/>
    <row r="199" s="110" customFormat="1"/>
    <row r="200" s="110" customFormat="1"/>
    <row r="201" s="110" customFormat="1"/>
    <row r="202" s="110" customFormat="1"/>
    <row r="203" s="110" customFormat="1"/>
    <row r="204" s="110" customFormat="1"/>
    <row r="205" s="110" customFormat="1"/>
    <row r="206" s="110" customFormat="1"/>
    <row r="207" s="110" customFormat="1"/>
    <row r="208" s="110" customFormat="1"/>
    <row r="209" s="110" customFormat="1"/>
    <row r="210" s="110" customFormat="1"/>
    <row r="211" s="110" customFormat="1"/>
    <row r="212" s="110" customFormat="1"/>
    <row r="213" s="110" customFormat="1"/>
    <row r="214" s="110" customFormat="1"/>
    <row r="215" s="110" customFormat="1"/>
    <row r="216" s="110" customFormat="1"/>
    <row r="217" s="110" customFormat="1"/>
    <row r="218" s="110" customFormat="1"/>
    <row r="219" s="110" customFormat="1"/>
    <row r="220" s="110" customFormat="1"/>
    <row r="221" s="110" customFormat="1"/>
    <row r="222" s="110" customFormat="1"/>
    <row r="223" s="110" customFormat="1"/>
    <row r="224" s="110" customFormat="1"/>
    <row r="225" s="110" customFormat="1"/>
    <row r="226" s="110" customFormat="1"/>
    <row r="227" s="110" customFormat="1"/>
    <row r="228" s="110" customFormat="1"/>
    <row r="229" s="110" customFormat="1"/>
    <row r="230" s="110" customFormat="1"/>
    <row r="231" s="110" customFormat="1"/>
    <row r="232" s="110" customFormat="1"/>
    <row r="233" s="110" customFormat="1"/>
    <row r="234" s="110" customFormat="1"/>
    <row r="235" s="110" customFormat="1"/>
    <row r="236" s="110" customFormat="1"/>
    <row r="237" s="110" customFormat="1"/>
    <row r="238" s="110" customFormat="1"/>
    <row r="239" s="110" customFormat="1"/>
    <row r="240" s="110" customFormat="1"/>
    <row r="241" s="110" customFormat="1"/>
    <row r="242" s="110" customFormat="1"/>
    <row r="243" s="110" customFormat="1"/>
    <row r="244" s="110" customFormat="1"/>
    <row r="245" s="110" customFormat="1"/>
    <row r="246" s="110" customFormat="1"/>
    <row r="247" s="110" customFormat="1"/>
    <row r="248" s="110" customFormat="1"/>
    <row r="249" s="110" customFormat="1"/>
    <row r="250" s="110" customFormat="1"/>
    <row r="251" s="110" customFormat="1"/>
    <row r="252" s="110" customFormat="1"/>
    <row r="253" s="110" customFormat="1"/>
    <row r="254" s="110" customFormat="1"/>
    <row r="255" s="110" customFormat="1"/>
    <row r="256" s="110" customFormat="1"/>
    <row r="257" s="110" customFormat="1"/>
    <row r="258" s="110" customFormat="1"/>
    <row r="259" s="110" customFormat="1"/>
    <row r="260" s="110" customFormat="1"/>
    <row r="261" s="110" customFormat="1"/>
    <row r="262" s="110" customFormat="1"/>
    <row r="263" s="110" customFormat="1"/>
    <row r="264" s="110" customFormat="1"/>
    <row r="265" s="110" customFormat="1"/>
    <row r="266" s="110" customFormat="1"/>
    <row r="267" s="110" customFormat="1"/>
    <row r="268" s="110" customFormat="1"/>
    <row r="269" s="110" customFormat="1"/>
    <row r="270" s="110" customFormat="1"/>
    <row r="271" s="110" customFormat="1"/>
    <row r="272" s="110" customFormat="1"/>
    <row r="273" s="110" customFormat="1"/>
    <row r="274" s="110" customFormat="1"/>
    <row r="275" s="110" customFormat="1"/>
    <row r="276" s="110" customFormat="1"/>
    <row r="277" s="110" customFormat="1"/>
    <row r="278" s="110" customFormat="1"/>
    <row r="279" s="110" customFormat="1"/>
    <row r="280" s="110" customFormat="1"/>
    <row r="281" s="110" customFormat="1"/>
    <row r="282" s="110" customFormat="1"/>
    <row r="283" s="110" customFormat="1"/>
    <row r="284" s="110" customFormat="1"/>
    <row r="285" s="110" customFormat="1"/>
    <row r="286" s="110" customFormat="1"/>
    <row r="287" s="110" customFormat="1"/>
    <row r="288" s="110" customFormat="1"/>
    <row r="289" s="110" customFormat="1"/>
    <row r="290" s="110" customFormat="1"/>
    <row r="291" s="110" customFormat="1"/>
    <row r="292" s="110" customFormat="1"/>
    <row r="293" s="110" customFormat="1"/>
    <row r="294" s="110" customFormat="1"/>
    <row r="295" s="110" customFormat="1"/>
    <row r="296" s="110" customFormat="1"/>
    <row r="297" s="110" customFormat="1"/>
    <row r="298" s="110" customFormat="1"/>
    <row r="299" s="110" customFormat="1"/>
    <row r="300" s="110" customFormat="1"/>
    <row r="301" s="110" customFormat="1"/>
    <row r="302" s="110" customFormat="1"/>
    <row r="303" s="110" customFormat="1"/>
    <row r="304" s="110" customFormat="1"/>
    <row r="305" s="110" customFormat="1"/>
    <row r="306" s="110" customFormat="1"/>
    <row r="307" s="110" customFormat="1"/>
    <row r="308" s="110" customFormat="1"/>
    <row r="309" s="110" customFormat="1"/>
    <row r="310" s="110" customFormat="1"/>
    <row r="311" s="110" customFormat="1"/>
    <row r="312" s="110" customFormat="1"/>
    <row r="313" s="110" customFormat="1"/>
    <row r="314" s="110" customFormat="1"/>
    <row r="315" s="110" customFormat="1"/>
    <row r="316" s="110" customFormat="1"/>
    <row r="317" s="110" customFormat="1"/>
    <row r="318" s="110" customFormat="1"/>
    <row r="319" s="110" customFormat="1"/>
    <row r="320" s="110" customFormat="1"/>
    <row r="321" s="110" customFormat="1"/>
    <row r="322" s="110" customFormat="1"/>
    <row r="323" s="110" customFormat="1"/>
    <row r="324" s="110" customFormat="1"/>
    <row r="325" s="110" customFormat="1"/>
    <row r="326" s="110" customFormat="1"/>
    <row r="327" s="110" customFormat="1"/>
    <row r="328" s="110" customFormat="1"/>
    <row r="329" s="110" customFormat="1"/>
    <row r="330" s="110" customFormat="1"/>
    <row r="331" s="110" customFormat="1"/>
    <row r="332" s="110" customFormat="1"/>
    <row r="333" s="110" customFormat="1"/>
    <row r="334" s="110" customFormat="1"/>
    <row r="335" s="110" customFormat="1"/>
    <row r="336" s="110" customFormat="1"/>
    <row r="337" s="110" customFormat="1"/>
    <row r="338" s="110" customFormat="1"/>
    <row r="339" s="110" customFormat="1"/>
    <row r="340" s="110" customFormat="1"/>
    <row r="341" s="110" customFormat="1"/>
  </sheetData>
  <hyperlinks>
    <hyperlink ref="M1" location="Índice!A1" display="Índice" xr:uid="{00000000-0004-0000-0300-000000000000}"/>
  </hyperlinks>
  <pageMargins left="0.74803149606299213" right="0.74803149606299213" top="0.98425196850393704" bottom="0.98425196850393704" header="0" footer="0"/>
  <pageSetup orientation="portrait" horizontalDpi="360" verticalDpi="360" r:id="rId1"/>
  <headerFooter alignWithMargins="0">
    <oddFooter>&amp;L© Alacero 2014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23"/>
  <sheetViews>
    <sheetView zoomScale="90" zoomScaleNormal="90" zoomScaleSheetLayoutView="90" workbookViewId="0">
      <selection activeCell="P5" sqref="P5"/>
    </sheetView>
  </sheetViews>
  <sheetFormatPr defaultColWidth="11.42578125" defaultRowHeight="12.75"/>
  <cols>
    <col min="1" max="1" width="2.7109375" style="42" customWidth="1"/>
    <col min="2" max="2" width="34.85546875" style="42" customWidth="1"/>
    <col min="3" max="3" width="2.7109375" style="91" customWidth="1"/>
    <col min="4" max="5" width="13.7109375" style="42" customWidth="1"/>
    <col min="6" max="6" width="2.7109375" style="42" customWidth="1"/>
    <col min="7" max="9" width="13.7109375" style="42" customWidth="1"/>
    <col min="10" max="10" width="3.140625" style="42" customWidth="1"/>
    <col min="11" max="12" width="11.42578125" style="42"/>
    <col min="13" max="13" width="13.42578125" style="42" customWidth="1"/>
    <col min="14" max="16384" width="11.42578125" style="42"/>
  </cols>
  <sheetData>
    <row r="1" spans="1:20" ht="38.25" customHeight="1">
      <c r="B1" s="186" t="s">
        <v>137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89"/>
    </row>
    <row r="2" spans="1:20" ht="18" customHeight="1" thickBot="1">
      <c r="B2" s="88" t="s">
        <v>115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89"/>
    </row>
    <row r="3" spans="1:20" ht="30" customHeight="1" thickTop="1" thickBot="1">
      <c r="D3" s="104">
        <v>2018</v>
      </c>
      <c r="E3" s="104">
        <v>2018</v>
      </c>
      <c r="G3" s="153"/>
      <c r="H3" s="94"/>
      <c r="I3" s="237" t="s">
        <v>34</v>
      </c>
      <c r="J3" s="201"/>
      <c r="K3" s="201"/>
      <c r="L3" s="199"/>
      <c r="M3" s="200" t="s">
        <v>197</v>
      </c>
    </row>
    <row r="4" spans="1:20" ht="30" customHeight="1" thickTop="1" thickBot="1">
      <c r="B4" s="21" t="s">
        <v>23</v>
      </c>
      <c r="C4" s="92"/>
      <c r="D4" s="237" t="s">
        <v>33</v>
      </c>
      <c r="E4" s="237" t="s">
        <v>199</v>
      </c>
      <c r="F4" s="101"/>
      <c r="G4" s="235">
        <v>2018</v>
      </c>
      <c r="H4" s="235">
        <v>2017</v>
      </c>
      <c r="I4" s="95" t="s">
        <v>196</v>
      </c>
      <c r="J4" s="202"/>
      <c r="K4" s="200">
        <v>2018</v>
      </c>
      <c r="L4" s="200">
        <v>2017</v>
      </c>
      <c r="M4" s="203" t="s">
        <v>196</v>
      </c>
      <c r="O4" s="177"/>
      <c r="P4" s="177"/>
      <c r="Q4" s="177"/>
    </row>
    <row r="5" spans="1:20" ht="18" customHeight="1" thickTop="1">
      <c r="B5" s="89" t="s">
        <v>147</v>
      </c>
      <c r="D5" s="204">
        <f>+D6+D7+D8</f>
        <v>1807.9693764763997</v>
      </c>
      <c r="E5" s="204">
        <f>+E6+E7+E8</f>
        <v>1998.0351952690999</v>
      </c>
      <c r="F5" s="198"/>
      <c r="G5" s="204">
        <f>+G6+G7+G8</f>
        <v>1894.2539883499996</v>
      </c>
      <c r="H5" s="204">
        <f>+H6+H7+H8</f>
        <v>1784.7331423247208</v>
      </c>
      <c r="I5" s="205">
        <f t="shared" ref="I5:I12" si="0">(G5-H5)/H5</f>
        <v>6.1365390392549915E-2</v>
      </c>
      <c r="J5" s="198"/>
      <c r="K5" s="204">
        <f>+K6+K7+K8</f>
        <v>21529.737832954055</v>
      </c>
      <c r="L5" s="204">
        <f ca="1">+L6+L7+L8</f>
        <v>23342.151092866759</v>
      </c>
      <c r="M5" s="205">
        <f t="shared" ref="M5:M13" ca="1" si="1">(K5-L5)/L5</f>
        <v>-7.7645511448452942E-2</v>
      </c>
      <c r="O5" s="216">
        <f>+K5/'Resumen Consumo'!K5</f>
        <v>0.34984223324559349</v>
      </c>
      <c r="P5" s="188">
        <f ca="1">+L5/'Resumen Consumo'!L5</f>
        <v>0.37820559983981711</v>
      </c>
      <c r="Q5" s="177"/>
      <c r="R5" s="144"/>
      <c r="S5" s="144"/>
      <c r="T5" s="105"/>
    </row>
    <row r="6" spans="1:20" ht="18" customHeight="1">
      <c r="B6" s="90" t="s">
        <v>65</v>
      </c>
      <c r="D6" s="206">
        <f>+HLOOKUP(D$4,'Impo 2018'!$C$2:$P$87,82,FALSE)</f>
        <v>487.15299059269995</v>
      </c>
      <c r="E6" s="206">
        <f>+HLOOKUP(E$4,'Impo 2018'!$C$2:$P$87,82,FALSE)</f>
        <v>521.73767972730002</v>
      </c>
      <c r="F6" s="207"/>
      <c r="G6" s="206">
        <f>+HLOOKUP(I$3,'Impo 2018'!$C$2:$P$87,82,FALSE)</f>
        <v>478.47984412999978</v>
      </c>
      <c r="H6" s="206">
        <f>+HLOOKUP(I$3,'Impo 2017'!$C$2:$P$87,82,FALSE)</f>
        <v>449.11682716464571</v>
      </c>
      <c r="I6" s="208">
        <f t="shared" si="0"/>
        <v>6.537946295784107E-2</v>
      </c>
      <c r="J6" s="207"/>
      <c r="K6" s="209">
        <f>+HLOOKUP(M$3,'Impo 2018'!$C$2:$P$90,82,FALSE)</f>
        <v>5868.7352364535691</v>
      </c>
      <c r="L6" s="209">
        <f ca="1">+SUM('Impo 2017'!$D83:OFFSET('Impo 2017'!$D83,0,Índice!$Y$5))</f>
        <v>5816.8486686388514</v>
      </c>
      <c r="M6" s="208">
        <f t="shared" ca="1" si="1"/>
        <v>8.9200477389863309E-3</v>
      </c>
      <c r="O6" s="216">
        <f>+K6/K5</f>
        <v>0.27258739897290846</v>
      </c>
      <c r="P6" s="187"/>
      <c r="Q6" s="177"/>
    </row>
    <row r="7" spans="1:20" ht="18" customHeight="1">
      <c r="B7" s="90" t="s">
        <v>59</v>
      </c>
      <c r="D7" s="209">
        <f>+HLOOKUP(D$4,'Impo 2018'!$C$2:$P$87,83,FALSE)</f>
        <v>1264.7680283824998</v>
      </c>
      <c r="E7" s="209">
        <f>+HLOOKUP(E$4,'Impo 2018'!$C$2:$P$87,83,FALSE)</f>
        <v>1406.6030038225999</v>
      </c>
      <c r="F7" s="202"/>
      <c r="G7" s="209">
        <f>+HLOOKUP(I$3,'Impo 2018'!$C$2:$P$87,83,FALSE)</f>
        <v>1364.1588442699999</v>
      </c>
      <c r="H7" s="209">
        <f>+HLOOKUP(I$3,'Impo 2017'!$C$2:$P$87,83,FALSE)</f>
        <v>1293.4280608532035</v>
      </c>
      <c r="I7" s="210">
        <f t="shared" si="0"/>
        <v>5.4684744793722172E-2</v>
      </c>
      <c r="J7" s="202"/>
      <c r="K7" s="209">
        <f>+HLOOKUP(M$3,'Impo 2018'!$C$2:$P$90,83,FALSE)</f>
        <v>15072.305409035269</v>
      </c>
      <c r="L7" s="209">
        <f ca="1">+SUM('Impo 2017'!$D84:OFFSET('Impo 2017'!$D84,0,Índice!$Y$5))</f>
        <v>16987.118820539916</v>
      </c>
      <c r="M7" s="210">
        <f t="shared" ca="1" si="1"/>
        <v>-0.1127214939586669</v>
      </c>
      <c r="O7" s="216">
        <f>+K7/K5</f>
        <v>0.70006915671611902</v>
      </c>
      <c r="P7" s="187"/>
      <c r="Q7" s="177"/>
    </row>
    <row r="8" spans="1:20" ht="18" customHeight="1" thickBot="1">
      <c r="B8" s="90" t="s">
        <v>60</v>
      </c>
      <c r="D8" s="211">
        <f>+HLOOKUP(D$4,'Impo 2018'!$C$2:$P$87,84,FALSE)</f>
        <v>56.048357501200002</v>
      </c>
      <c r="E8" s="211">
        <f>+HLOOKUP(E$4,'Impo 2018'!$C$2:$P$87,84,FALSE)</f>
        <v>69.694511719200008</v>
      </c>
      <c r="F8" s="207"/>
      <c r="G8" s="211">
        <f>+HLOOKUP(I$3,'Impo 2018'!$C$2:$P$87,84,FALSE)</f>
        <v>51.615299950000008</v>
      </c>
      <c r="H8" s="211">
        <f>+HLOOKUP(I$3,'Impo 2017'!$C$2:$P$87,84,FALSE)</f>
        <v>42.188254306871578</v>
      </c>
      <c r="I8" s="212">
        <f t="shared" si="0"/>
        <v>0.22345190143582128</v>
      </c>
      <c r="J8" s="207"/>
      <c r="K8" s="209">
        <f>+HLOOKUP(M$3,'Impo 2018'!$C$2:$P$90,84,FALSE)</f>
        <v>588.69718746521994</v>
      </c>
      <c r="L8" s="209">
        <f ca="1">+SUM('Impo 2017'!$D85:OFFSET('Impo 2017'!$D85,0,Índice!$Y$5))</f>
        <v>538.18360368799529</v>
      </c>
      <c r="M8" s="212">
        <f t="shared" ca="1" si="1"/>
        <v>9.3859388192192542E-2</v>
      </c>
      <c r="O8" s="216">
        <f>+K8/K5</f>
        <v>2.7343444310972638E-2</v>
      </c>
      <c r="P8" s="188"/>
      <c r="Q8" s="177"/>
    </row>
    <row r="9" spans="1:20" ht="18" customHeight="1" thickTop="1">
      <c r="B9" s="96" t="s">
        <v>148</v>
      </c>
      <c r="C9" s="92"/>
      <c r="D9" s="204">
        <f>+D10+D11+D12</f>
        <v>621.2709410130999</v>
      </c>
      <c r="E9" s="204">
        <f>+E10+E11+E12</f>
        <v>786.00748975860017</v>
      </c>
      <c r="F9" s="198"/>
      <c r="G9" s="204">
        <f>+G10+G11+G12</f>
        <v>814.35348415999988</v>
      </c>
      <c r="H9" s="204">
        <f>+H10+H11+H12</f>
        <v>948.77854253193334</v>
      </c>
      <c r="I9" s="205">
        <f t="shared" si="0"/>
        <v>-0.14168222861912907</v>
      </c>
      <c r="J9" s="198"/>
      <c r="K9" s="204">
        <f>+K10+K11+K12</f>
        <v>9077.3409861004893</v>
      </c>
      <c r="L9" s="204">
        <f ca="1">+L10+L11+L12</f>
        <v>9583.7876847548687</v>
      </c>
      <c r="M9" s="205">
        <f t="shared" ca="1" si="1"/>
        <v>-5.2844106663589255E-2</v>
      </c>
      <c r="O9" s="187"/>
      <c r="P9" s="187"/>
      <c r="Q9" s="177"/>
      <c r="R9" s="144"/>
      <c r="S9" s="144"/>
      <c r="T9" s="105"/>
    </row>
    <row r="10" spans="1:20" ht="18" customHeight="1">
      <c r="B10" s="90" t="s">
        <v>145</v>
      </c>
      <c r="D10" s="206">
        <f>+HLOOKUP($D$4,'Expo 2018'!$C$2:$P$87,82,FALSE)</f>
        <v>276.78323740749988</v>
      </c>
      <c r="E10" s="206">
        <f>+HLOOKUP(E$4,'Expo 2018'!$C$2:$P$87,82,FALSE)</f>
        <v>298.76176632860006</v>
      </c>
      <c r="F10" s="207"/>
      <c r="G10" s="206">
        <f>+HLOOKUP($I$3,'Expo 2018'!$C$2:$P$87,82,FALSE)</f>
        <v>352.60438562999997</v>
      </c>
      <c r="H10" s="206">
        <f>+HLOOKUP($I$3,'Expo 2017'!$C$2:$P$87,82,FALSE)</f>
        <v>368.31866689312699</v>
      </c>
      <c r="I10" s="208">
        <f t="shared" si="0"/>
        <v>-4.2664905897063177E-2</v>
      </c>
      <c r="J10" s="207"/>
      <c r="K10" s="209">
        <f>+HLOOKUP(M$3,'Expo 2018'!$C$2:$P$90,82,FALSE)</f>
        <v>3791.1029267361901</v>
      </c>
      <c r="L10" s="209">
        <f ca="1">+SUM('Expo 2017'!$D83:OFFSET('Expo 2017'!$D83,0,Índice!$Y$5))</f>
        <v>3743.1360093178268</v>
      </c>
      <c r="M10" s="208">
        <f t="shared" ca="1" si="1"/>
        <v>1.2814633852192031E-2</v>
      </c>
      <c r="O10" s="188">
        <f>+K10/K9</f>
        <v>0.41764465304776438</v>
      </c>
      <c r="P10" s="187"/>
      <c r="Q10" s="177"/>
    </row>
    <row r="11" spans="1:20" ht="18" customHeight="1">
      <c r="B11" s="90" t="s">
        <v>146</v>
      </c>
      <c r="D11" s="209">
        <f>+HLOOKUP($D$4,'Expo 2018'!$C$2:$P$87,83,FALSE)</f>
        <v>215.86996343570001</v>
      </c>
      <c r="E11" s="209">
        <f>+HLOOKUP(E$4,'Expo 2018'!$C$2:$P$87,83,FALSE)</f>
        <v>384.35860806470004</v>
      </c>
      <c r="F11" s="202"/>
      <c r="G11" s="209">
        <f>+HLOOKUP($I$3,'Expo 2018'!$C$2:$P$87,83,FALSE)</f>
        <v>363.83791108999992</v>
      </c>
      <c r="H11" s="209">
        <f>+HLOOKUP($I$3,'Expo 2017'!$C$2:$P$87,83,FALSE)</f>
        <v>465.87844716980322</v>
      </c>
      <c r="I11" s="210">
        <f t="shared" si="0"/>
        <v>-0.21902823944678343</v>
      </c>
      <c r="J11" s="202"/>
      <c r="K11" s="209">
        <f>+HLOOKUP(M$3,'Expo 2018'!$C$2:$P$90,83,FALSE)</f>
        <v>4031.8036322666985</v>
      </c>
      <c r="L11" s="209">
        <f ca="1">+SUM('Expo 2017'!$D84:OFFSET('Expo 2017'!$D84,0,Índice!$Y$5))</f>
        <v>4683.9461672326852</v>
      </c>
      <c r="M11" s="210">
        <f t="shared" ca="1" si="1"/>
        <v>-0.13922929762262362</v>
      </c>
      <c r="O11" s="188">
        <f>+K11/K9</f>
        <v>0.44416130653682873</v>
      </c>
      <c r="P11" s="187"/>
      <c r="Q11" s="177"/>
    </row>
    <row r="12" spans="1:20" ht="18" customHeight="1">
      <c r="B12" s="97" t="s">
        <v>60</v>
      </c>
      <c r="D12" s="211">
        <f>+HLOOKUP($D$4,'Expo 2018'!$C$2:$P$87,84,FALSE)</f>
        <v>128.61774016989997</v>
      </c>
      <c r="E12" s="211">
        <f>+HLOOKUP(E$4,'Expo 2018'!$C$2:$P$87,84,FALSE)</f>
        <v>102.88711536530001</v>
      </c>
      <c r="F12" s="207"/>
      <c r="G12" s="211">
        <f>+HLOOKUP($I$3,'Expo 2018'!$C$2:$P$87,84,FALSE)</f>
        <v>97.911187439999992</v>
      </c>
      <c r="H12" s="211">
        <f>+HLOOKUP($I$3,'Expo 2017'!$C$2:$P$87,84,FALSE)</f>
        <v>114.58142846900307</v>
      </c>
      <c r="I12" s="212">
        <f t="shared" si="0"/>
        <v>-0.145488158523986</v>
      </c>
      <c r="J12" s="207"/>
      <c r="K12" s="211">
        <f>+HLOOKUP(M$3,'Expo 2018'!$C$2:$P$90,84,FALSE)</f>
        <v>1254.4344270976001</v>
      </c>
      <c r="L12" s="211">
        <f ca="1">+SUM('Expo 2017'!$D85:OFFSET('Expo 2017'!$D85,0,Índice!$Y$5))</f>
        <v>1156.7055082043562</v>
      </c>
      <c r="M12" s="212">
        <f t="shared" ca="1" si="1"/>
        <v>8.4489023524195073E-2</v>
      </c>
      <c r="O12" s="188">
        <f>+K12/K9</f>
        <v>0.13819404041540684</v>
      </c>
      <c r="P12" s="187"/>
      <c r="Q12" s="177"/>
    </row>
    <row r="13" spans="1:20" ht="18" customHeight="1">
      <c r="B13" s="189"/>
      <c r="C13" s="190"/>
      <c r="D13" s="197"/>
      <c r="G13" s="215">
        <f>+G9-G5</f>
        <v>-1079.9005041899998</v>
      </c>
      <c r="H13" s="215">
        <f>+H9-H5</f>
        <v>-835.95459979278746</v>
      </c>
      <c r="I13" s="215">
        <f>+H13-G13</f>
        <v>243.9459043972123</v>
      </c>
      <c r="J13" s="187"/>
      <c r="K13" s="215">
        <f>+K9-K5</f>
        <v>-12452.396846853566</v>
      </c>
      <c r="L13" s="215">
        <f ca="1">+L9-L5</f>
        <v>-13758.363408111891</v>
      </c>
      <c r="M13" s="188">
        <f t="shared" ca="1" si="1"/>
        <v>-9.4921650382365302E-2</v>
      </c>
      <c r="N13" s="187"/>
      <c r="O13" s="187"/>
      <c r="P13" s="220"/>
    </row>
    <row r="14" spans="1:20" ht="18" customHeight="1">
      <c r="B14" s="189"/>
      <c r="C14" s="190"/>
      <c r="D14" s="197"/>
      <c r="G14" s="220"/>
      <c r="H14" s="220"/>
      <c r="I14" s="220"/>
      <c r="J14" s="220"/>
      <c r="K14" s="220"/>
      <c r="L14" s="220"/>
      <c r="M14" s="220"/>
      <c r="N14" s="220"/>
      <c r="O14" s="220"/>
      <c r="P14" s="220"/>
    </row>
    <row r="15" spans="1:20" ht="18" customHeight="1">
      <c r="A15" s="110"/>
      <c r="B15" s="113"/>
      <c r="C15" s="113"/>
      <c r="D15" s="213"/>
      <c r="E15" s="213"/>
      <c r="F15" s="213"/>
      <c r="G15" s="213"/>
      <c r="H15" s="213"/>
      <c r="I15" s="213"/>
      <c r="J15" s="213"/>
      <c r="K15" s="222"/>
      <c r="L15" s="214"/>
      <c r="M15" s="197"/>
      <c r="N15" s="197"/>
      <c r="O15" s="197"/>
      <c r="P15" s="189"/>
    </row>
    <row r="16" spans="1:20" ht="18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4"/>
      <c r="L16" s="110"/>
      <c r="N16" s="189"/>
    </row>
    <row r="17" spans="1:14" ht="18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4"/>
      <c r="L17" s="110"/>
      <c r="N17" s="189"/>
    </row>
    <row r="18" spans="1:14" ht="18" customHeight="1">
      <c r="A18" s="113"/>
      <c r="B18" s="116"/>
      <c r="C18" s="113"/>
      <c r="D18" s="113"/>
      <c r="E18" s="113"/>
      <c r="F18" s="113"/>
      <c r="G18" s="113"/>
      <c r="H18" s="113"/>
      <c r="I18" s="113"/>
      <c r="J18" s="113"/>
      <c r="K18" s="114"/>
      <c r="L18" s="110"/>
    </row>
    <row r="19" spans="1:14" ht="18" customHeight="1">
      <c r="A19" s="113"/>
      <c r="B19" s="93"/>
      <c r="C19" s="93"/>
      <c r="D19" s="93"/>
      <c r="E19" s="93"/>
      <c r="F19" s="93"/>
      <c r="G19" s="93"/>
      <c r="H19" s="93"/>
      <c r="I19" s="93"/>
      <c r="J19" s="93"/>
      <c r="K19" s="114"/>
      <c r="L19" s="110"/>
    </row>
    <row r="20" spans="1:14" ht="18" customHeight="1">
      <c r="A20" s="113"/>
      <c r="B20" s="93"/>
      <c r="C20" s="93"/>
      <c r="D20" s="93"/>
      <c r="E20" s="93"/>
      <c r="F20" s="93"/>
      <c r="G20" s="93"/>
      <c r="H20" s="93"/>
      <c r="I20" s="93"/>
      <c r="J20" s="93"/>
      <c r="K20" s="114"/>
      <c r="L20" s="110"/>
    </row>
    <row r="21" spans="1:14" ht="18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0"/>
    </row>
    <row r="22" spans="1:14" ht="18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pans="1:14" ht="18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4" ht="18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</row>
    <row r="25" spans="1:14" ht="18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4" ht="18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</row>
    <row r="27" spans="1:14" ht="18" customHeight="1"/>
    <row r="28" spans="1:14" ht="18" customHeight="1"/>
    <row r="29" spans="1:14" ht="18" customHeight="1"/>
    <row r="30" spans="1:14" ht="18" customHeight="1"/>
    <row r="31" spans="1:14" ht="18" customHeight="1"/>
    <row r="32" spans="1:14" ht="18" customHeight="1"/>
    <row r="33" spans="1:10" ht="18" customHeight="1"/>
    <row r="34" spans="1:10" ht="18" customHeight="1"/>
    <row r="35" spans="1:10" ht="18" customHeight="1"/>
    <row r="36" spans="1:10" ht="18" customHeight="1"/>
    <row r="37" spans="1:10" s="110" customFormat="1" ht="18" customHeight="1"/>
    <row r="38" spans="1:10" s="110" customFormat="1" ht="18" customHeight="1"/>
    <row r="39" spans="1:10" s="110" customFormat="1" ht="18" customHeight="1"/>
    <row r="40" spans="1:10" s="110" customFormat="1" ht="18" customHeight="1"/>
    <row r="41" spans="1:10" s="110" customFormat="1" ht="18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</row>
    <row r="42" spans="1:10" s="110" customFormat="1" ht="18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0" s="110" customFormat="1" ht="18" customHeight="1">
      <c r="A43" s="113"/>
      <c r="B43" s="93"/>
      <c r="C43" s="93"/>
      <c r="D43" s="93"/>
      <c r="E43" s="93"/>
      <c r="F43" s="93"/>
      <c r="G43" s="93"/>
      <c r="H43" s="93"/>
      <c r="I43" s="93"/>
      <c r="J43" s="93"/>
    </row>
    <row r="44" spans="1:10" s="110" customFormat="1" ht="18" customHeight="1">
      <c r="A44" s="113"/>
      <c r="B44" s="93"/>
      <c r="C44" s="93"/>
      <c r="D44" s="93"/>
      <c r="E44" s="93"/>
      <c r="F44" s="93"/>
      <c r="G44" s="93"/>
      <c r="H44" s="93"/>
      <c r="I44" s="93"/>
      <c r="J44" s="93"/>
    </row>
    <row r="45" spans="1:10" s="110" customFormat="1" ht="18" customHeight="1"/>
    <row r="46" spans="1:10" s="110" customFormat="1" ht="18" customHeight="1"/>
    <row r="47" spans="1:10" s="110" customFormat="1" ht="18" customHeight="1"/>
    <row r="48" spans="1:10" s="110" customFormat="1" ht="18" customHeight="1"/>
    <row r="49" s="110" customFormat="1" ht="18" customHeight="1"/>
    <row r="50" s="110" customFormat="1" ht="18" customHeight="1"/>
    <row r="51" s="110" customFormat="1" ht="18" customHeight="1"/>
    <row r="52" s="110" customFormat="1" ht="18" customHeight="1"/>
    <row r="53" s="110" customFormat="1" ht="18" customHeight="1"/>
    <row r="54" s="110" customFormat="1" ht="18" customHeight="1"/>
    <row r="55" s="110" customFormat="1" ht="18" customHeight="1"/>
    <row r="56" s="110" customFormat="1" ht="18" customHeight="1"/>
    <row r="57" s="110" customFormat="1" ht="18" customHeight="1"/>
    <row r="58" s="110" customFormat="1" ht="18" customHeight="1"/>
    <row r="59" s="110" customFormat="1" ht="18" customHeight="1"/>
    <row r="60" s="110" customFormat="1" ht="18" customHeight="1"/>
    <row r="61" s="110" customFormat="1" ht="18" customHeight="1"/>
    <row r="62" s="110" customFormat="1" ht="18" customHeight="1"/>
    <row r="63" s="110" customFormat="1" ht="18" customHeight="1"/>
    <row r="64" s="110" customFormat="1" ht="18" customHeight="1"/>
    <row r="65" spans="2:10" s="110" customFormat="1" ht="18" customHeight="1"/>
    <row r="66" spans="2:10" s="110" customFormat="1" ht="18" customHeight="1"/>
    <row r="67" spans="2:10" s="110" customFormat="1" ht="18" customHeight="1"/>
    <row r="68" spans="2:10" s="110" customFormat="1"/>
    <row r="69" spans="2:10" s="110" customFormat="1"/>
    <row r="70" spans="2:10" s="110" customFormat="1"/>
    <row r="71" spans="2:10" s="110" customFormat="1">
      <c r="B71" s="115"/>
      <c r="C71" s="115"/>
      <c r="D71" s="115"/>
      <c r="E71" s="115"/>
      <c r="F71" s="115"/>
      <c r="G71" s="115"/>
      <c r="H71" s="115"/>
      <c r="I71" s="115"/>
      <c r="J71" s="115"/>
    </row>
    <row r="72" spans="2:10" s="110" customFormat="1"/>
    <row r="73" spans="2:10" s="110" customFormat="1"/>
    <row r="74" spans="2:10" s="110" customFormat="1"/>
    <row r="75" spans="2:10" s="110" customFormat="1"/>
    <row r="76" spans="2:10" s="110" customFormat="1"/>
    <row r="77" spans="2:10" s="110" customFormat="1"/>
    <row r="78" spans="2:10" s="110" customFormat="1"/>
    <row r="79" spans="2:10" s="110" customFormat="1"/>
    <row r="80" spans="2:10" s="110" customFormat="1"/>
    <row r="81" s="110" customFormat="1"/>
    <row r="82" s="110" customFormat="1"/>
    <row r="83" s="110" customFormat="1"/>
    <row r="84" s="110" customFormat="1"/>
    <row r="85" s="110" customFormat="1"/>
    <row r="86" s="110" customFormat="1"/>
    <row r="87" s="110" customFormat="1"/>
    <row r="88" s="110" customFormat="1"/>
    <row r="89" s="110" customFormat="1"/>
    <row r="90" s="110" customFormat="1"/>
    <row r="91" s="110" customFormat="1"/>
    <row r="92" s="110" customFormat="1"/>
    <row r="93" s="110" customFormat="1"/>
    <row r="94" s="110" customFormat="1"/>
    <row r="95" s="110" customFormat="1"/>
    <row r="96" s="110" customFormat="1"/>
    <row r="97" s="110" customFormat="1"/>
    <row r="98" s="110" customFormat="1"/>
    <row r="99" s="110" customFormat="1"/>
    <row r="100" s="110" customFormat="1"/>
    <row r="101" s="110" customFormat="1"/>
    <row r="102" s="110" customFormat="1"/>
    <row r="103" s="110" customFormat="1"/>
    <row r="104" s="110" customFormat="1"/>
    <row r="105" s="110" customFormat="1"/>
    <row r="106" s="110" customFormat="1"/>
    <row r="107" s="110" customFormat="1"/>
    <row r="108" s="110" customFormat="1"/>
    <row r="109" s="110" customFormat="1"/>
    <row r="110" s="110" customFormat="1"/>
    <row r="111" s="110" customFormat="1"/>
    <row r="112" s="110" customFormat="1"/>
    <row r="113" s="110" customFormat="1"/>
    <row r="114" s="110" customFormat="1"/>
    <row r="115" s="110" customFormat="1"/>
    <row r="116" s="110" customFormat="1"/>
    <row r="117" s="110" customFormat="1"/>
    <row r="118" s="110" customFormat="1"/>
    <row r="119" s="110" customFormat="1"/>
    <row r="120" s="110" customFormat="1"/>
    <row r="121" s="110" customFormat="1"/>
    <row r="122" s="110" customFormat="1"/>
    <row r="123" s="110" customFormat="1"/>
    <row r="124" s="110" customFormat="1"/>
    <row r="125" s="110" customFormat="1"/>
    <row r="126" s="110" customFormat="1"/>
    <row r="127" s="110" customFormat="1"/>
    <row r="128" s="110" customFormat="1"/>
    <row r="129" s="110" customFormat="1"/>
    <row r="130" s="110" customFormat="1"/>
    <row r="131" s="110" customFormat="1"/>
    <row r="132" s="110" customFormat="1"/>
    <row r="133" s="110" customFormat="1"/>
    <row r="134" s="110" customFormat="1"/>
    <row r="135" s="110" customFormat="1"/>
    <row r="136" s="110" customFormat="1"/>
    <row r="137" s="110" customFormat="1"/>
    <row r="138" s="110" customFormat="1"/>
    <row r="139" s="110" customFormat="1"/>
    <row r="140" s="110" customFormat="1"/>
    <row r="141" s="110" customFormat="1"/>
    <row r="142" s="110" customFormat="1"/>
    <row r="143" s="110" customFormat="1"/>
    <row r="144" s="110" customFormat="1"/>
    <row r="145" s="110" customFormat="1"/>
    <row r="146" s="110" customFormat="1"/>
    <row r="147" s="110" customFormat="1"/>
    <row r="148" s="110" customFormat="1"/>
    <row r="149" s="110" customFormat="1"/>
    <row r="150" s="110" customFormat="1"/>
    <row r="151" s="110" customFormat="1"/>
    <row r="152" s="110" customFormat="1"/>
    <row r="153" s="110" customFormat="1"/>
    <row r="154" s="110" customFormat="1"/>
    <row r="155" s="110" customFormat="1"/>
    <row r="156" s="110" customFormat="1"/>
    <row r="157" s="110" customFormat="1"/>
    <row r="158" s="110" customFormat="1"/>
    <row r="159" s="110" customFormat="1"/>
    <row r="160" s="110" customFormat="1"/>
    <row r="161" s="110" customFormat="1"/>
    <row r="162" s="110" customFormat="1"/>
    <row r="163" s="110" customFormat="1"/>
    <row r="164" s="110" customFormat="1"/>
    <row r="165" s="110" customFormat="1"/>
    <row r="166" s="110" customFormat="1"/>
    <row r="167" s="110" customFormat="1"/>
    <row r="168" s="110" customFormat="1"/>
    <row r="169" s="110" customFormat="1"/>
    <row r="170" s="110" customFormat="1"/>
    <row r="171" s="110" customFormat="1"/>
    <row r="172" s="110" customFormat="1"/>
    <row r="173" s="110" customFormat="1"/>
    <row r="174" s="110" customFormat="1"/>
    <row r="175" s="110" customFormat="1"/>
    <row r="176" s="110" customFormat="1"/>
    <row r="177" s="110" customFormat="1"/>
    <row r="178" s="110" customFormat="1"/>
    <row r="179" s="110" customFormat="1"/>
    <row r="180" s="110" customFormat="1"/>
    <row r="181" s="110" customFormat="1"/>
    <row r="182" s="110" customFormat="1"/>
    <row r="183" s="110" customFormat="1"/>
    <row r="184" s="110" customFormat="1"/>
    <row r="185" s="110" customFormat="1"/>
    <row r="186" s="110" customFormat="1"/>
    <row r="187" s="110" customFormat="1"/>
    <row r="188" s="110" customFormat="1"/>
    <row r="189" s="110" customFormat="1"/>
    <row r="190" s="110" customFormat="1"/>
    <row r="191" s="110" customFormat="1"/>
    <row r="192" s="110" customFormat="1"/>
    <row r="193" s="110" customFormat="1"/>
    <row r="194" s="110" customFormat="1"/>
    <row r="195" s="110" customFormat="1"/>
    <row r="196" s="110" customFormat="1"/>
    <row r="197" s="110" customFormat="1"/>
    <row r="198" s="110" customFormat="1"/>
    <row r="199" s="110" customFormat="1"/>
    <row r="200" s="110" customFormat="1"/>
    <row r="201" s="110" customFormat="1"/>
    <row r="202" s="110" customFormat="1"/>
    <row r="203" s="110" customFormat="1"/>
    <row r="204" s="110" customFormat="1"/>
    <row r="205" s="110" customFormat="1"/>
    <row r="206" s="110" customFormat="1"/>
    <row r="207" s="110" customFormat="1"/>
    <row r="208" s="110" customFormat="1"/>
    <row r="209" s="110" customFormat="1"/>
    <row r="210" s="110" customFormat="1"/>
    <row r="211" s="110" customFormat="1"/>
    <row r="212" s="110" customFormat="1"/>
    <row r="213" s="110" customFormat="1"/>
    <row r="214" s="110" customFormat="1"/>
    <row r="215" s="110" customFormat="1"/>
    <row r="216" s="110" customFormat="1"/>
    <row r="217" s="110" customFormat="1"/>
    <row r="218" s="110" customFormat="1"/>
    <row r="219" s="110" customFormat="1"/>
    <row r="220" s="110" customFormat="1"/>
    <row r="221" s="110" customFormat="1"/>
    <row r="222" s="110" customFormat="1"/>
    <row r="223" s="110" customFormat="1"/>
    <row r="224" s="110" customFormat="1"/>
    <row r="225" s="110" customFormat="1"/>
    <row r="226" s="110" customFormat="1"/>
    <row r="227" s="110" customFormat="1"/>
    <row r="228" s="110" customFormat="1"/>
    <row r="229" s="110" customFormat="1"/>
    <row r="230" s="110" customFormat="1"/>
    <row r="231" s="110" customFormat="1"/>
    <row r="232" s="110" customFormat="1"/>
    <row r="233" s="110" customFormat="1"/>
    <row r="234" s="110" customFormat="1"/>
    <row r="235" s="110" customFormat="1"/>
    <row r="236" s="110" customFormat="1"/>
    <row r="237" s="110" customFormat="1"/>
    <row r="238" s="110" customFormat="1"/>
    <row r="239" s="110" customFormat="1"/>
    <row r="240" s="110" customFormat="1"/>
    <row r="241" s="110" customFormat="1"/>
    <row r="242" s="110" customFormat="1"/>
    <row r="243" s="110" customFormat="1"/>
    <row r="244" s="110" customFormat="1"/>
    <row r="245" s="110" customFormat="1"/>
    <row r="246" s="110" customFormat="1"/>
    <row r="247" s="110" customFormat="1"/>
    <row r="248" s="110" customFormat="1"/>
    <row r="249" s="110" customFormat="1"/>
    <row r="250" s="110" customFormat="1"/>
    <row r="251" s="110" customFormat="1"/>
    <row r="252" s="110" customFormat="1"/>
    <row r="253" s="110" customFormat="1"/>
    <row r="254" s="110" customFormat="1"/>
    <row r="255" s="110" customFormat="1"/>
    <row r="256" s="110" customFormat="1"/>
    <row r="257" s="110" customFormat="1"/>
    <row r="258" s="110" customFormat="1"/>
    <row r="259" s="110" customFormat="1"/>
    <row r="260" s="110" customFormat="1"/>
    <row r="261" s="110" customFormat="1"/>
    <row r="262" s="110" customFormat="1"/>
    <row r="263" s="110" customFormat="1"/>
    <row r="264" s="110" customFormat="1"/>
    <row r="265" s="110" customFormat="1"/>
    <row r="266" s="110" customFormat="1"/>
    <row r="267" s="110" customFormat="1"/>
    <row r="268" s="110" customFormat="1"/>
    <row r="269" s="110" customFormat="1"/>
    <row r="270" s="110" customFormat="1"/>
    <row r="271" s="110" customFormat="1"/>
    <row r="272" s="110" customFormat="1"/>
    <row r="273" s="110" customFormat="1"/>
    <row r="274" s="110" customFormat="1"/>
    <row r="275" s="110" customFormat="1"/>
    <row r="276" s="110" customFormat="1"/>
    <row r="277" s="110" customFormat="1"/>
    <row r="278" s="110" customFormat="1"/>
    <row r="279" s="110" customFormat="1"/>
    <row r="280" s="110" customFormat="1"/>
    <row r="281" s="110" customFormat="1"/>
    <row r="282" s="110" customFormat="1"/>
    <row r="283" s="110" customFormat="1"/>
    <row r="284" s="110" customFormat="1"/>
    <row r="285" s="110" customFormat="1"/>
    <row r="286" s="110" customFormat="1"/>
    <row r="287" s="110" customFormat="1"/>
    <row r="288" s="110" customFormat="1"/>
    <row r="289" s="110" customFormat="1"/>
    <row r="290" s="110" customFormat="1"/>
    <row r="291" s="110" customFormat="1"/>
    <row r="292" s="110" customFormat="1"/>
    <row r="293" s="110" customFormat="1"/>
    <row r="294" s="110" customFormat="1"/>
    <row r="295" s="110" customFormat="1"/>
    <row r="296" s="110" customFormat="1"/>
    <row r="297" s="110" customFormat="1"/>
    <row r="298" s="110" customFormat="1"/>
    <row r="299" s="110" customFormat="1"/>
    <row r="300" s="110" customFormat="1"/>
    <row r="301" s="110" customFormat="1"/>
    <row r="302" s="110" customFormat="1"/>
    <row r="303" s="110" customFormat="1"/>
    <row r="304" s="110" customFormat="1"/>
    <row r="305" s="110" customFormat="1"/>
    <row r="306" s="110" customFormat="1"/>
    <row r="307" s="110" customFormat="1"/>
    <row r="308" s="110" customFormat="1"/>
    <row r="309" s="110" customFormat="1"/>
    <row r="310" s="110" customFormat="1"/>
    <row r="311" s="110" customFormat="1"/>
    <row r="312" s="110" customFormat="1"/>
    <row r="313" s="110" customFormat="1"/>
    <row r="314" s="110" customFormat="1"/>
    <row r="315" s="110" customFormat="1"/>
    <row r="316" s="110" customFormat="1"/>
    <row r="317" s="110" customFormat="1"/>
    <row r="318" s="110" customFormat="1"/>
    <row r="319" s="110" customFormat="1"/>
    <row r="320" s="110" customFormat="1"/>
    <row r="321" s="110" customFormat="1"/>
    <row r="322" s="110" customFormat="1"/>
    <row r="323" s="110" customFormat="1"/>
  </sheetData>
  <pageMargins left="0.74803149606299213" right="0.74803149606299213" top="0.98425196850393704" bottom="0.98425196850393704" header="0" footer="0"/>
  <pageSetup orientation="portrait" horizontalDpi="360" verticalDpi="360" r:id="rId1"/>
  <headerFooter alignWithMargins="0">
    <oddFooter>&amp;L© Alacero 2014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0"/>
  <sheetViews>
    <sheetView topLeftCell="D43" zoomScale="70" zoomScaleNormal="70" zoomScaleSheetLayoutView="90" workbookViewId="0">
      <selection activeCell="O61" sqref="O61"/>
    </sheetView>
  </sheetViews>
  <sheetFormatPr defaultColWidth="11.42578125" defaultRowHeight="12.75"/>
  <cols>
    <col min="1" max="1" width="2.7109375" style="36" customWidth="1"/>
    <col min="2" max="2" width="25.42578125" style="36" customWidth="1"/>
    <col min="3" max="3" width="34.140625" style="36" bestFit="1" customWidth="1"/>
    <col min="4" max="16" width="13.7109375" style="36" customWidth="1"/>
    <col min="17" max="17" width="2.7109375" style="36" customWidth="1"/>
    <col min="18" max="21" width="11.42578125" style="36"/>
    <col min="22" max="22" width="13" style="36" bestFit="1" customWidth="1"/>
    <col min="23" max="16384" width="11.42578125" style="36"/>
  </cols>
  <sheetData>
    <row r="1" spans="1:22" s="38" customFormat="1" ht="38.25" customHeight="1" thickBot="1">
      <c r="A1" s="38" t="s">
        <v>41</v>
      </c>
      <c r="B1" s="22" t="s">
        <v>184</v>
      </c>
      <c r="J1" s="107"/>
      <c r="P1" s="87" t="s">
        <v>111</v>
      </c>
    </row>
    <row r="2" spans="1:22" ht="30" customHeight="1" thickTop="1">
      <c r="B2" s="33" t="s">
        <v>36</v>
      </c>
      <c r="C2" s="21" t="s">
        <v>23</v>
      </c>
      <c r="D2" s="158" t="s">
        <v>27</v>
      </c>
      <c r="E2" s="158" t="s">
        <v>28</v>
      </c>
      <c r="F2" s="158" t="s">
        <v>26</v>
      </c>
      <c r="G2" s="158" t="s">
        <v>22</v>
      </c>
      <c r="H2" s="158" t="s">
        <v>29</v>
      </c>
      <c r="I2" s="158" t="s">
        <v>30</v>
      </c>
      <c r="J2" s="158" t="s">
        <v>31</v>
      </c>
      <c r="K2" s="158" t="s">
        <v>32</v>
      </c>
      <c r="L2" s="158" t="s">
        <v>33</v>
      </c>
      <c r="M2" s="158" t="s">
        <v>24</v>
      </c>
      <c r="N2" s="158" t="s">
        <v>34</v>
      </c>
      <c r="O2" s="158" t="s">
        <v>35</v>
      </c>
      <c r="P2" s="158" t="s">
        <v>25</v>
      </c>
    </row>
    <row r="3" spans="1:22" ht="18" customHeight="1" thickBot="1">
      <c r="B3" s="259" t="s">
        <v>0</v>
      </c>
      <c r="C3" s="29" t="s">
        <v>13</v>
      </c>
      <c r="D3" s="238">
        <v>143.947</v>
      </c>
      <c r="E3" s="238">
        <v>226.27199999999999</v>
      </c>
      <c r="F3" s="238">
        <v>266.88099999999997</v>
      </c>
      <c r="G3" s="238">
        <v>262.57600000000002</v>
      </c>
      <c r="H3" s="238">
        <v>264.005</v>
      </c>
      <c r="I3" s="238">
        <v>246.035</v>
      </c>
      <c r="J3" s="238">
        <v>259.28899999999999</v>
      </c>
      <c r="K3" s="238">
        <v>260.67200000000003</v>
      </c>
      <c r="L3" s="238">
        <v>242.328</v>
      </c>
      <c r="M3" s="238">
        <v>263.76799999999997</v>
      </c>
      <c r="N3" s="238">
        <v>257.17399999999998</v>
      </c>
      <c r="O3" s="238">
        <v>150.256</v>
      </c>
      <c r="P3" s="34">
        <f>SUM(D3:O3)</f>
        <v>2843.203</v>
      </c>
    </row>
    <row r="4" spans="1:22" ht="18" customHeight="1" thickTop="1" thickBot="1">
      <c r="B4" s="260"/>
      <c r="C4" s="29" t="s">
        <v>14</v>
      </c>
      <c r="D4" s="238">
        <v>199.81399999999999</v>
      </c>
      <c r="E4" s="238">
        <v>190.99299999999999</v>
      </c>
      <c r="F4" s="238">
        <v>207.01900000000001</v>
      </c>
      <c r="G4" s="238">
        <v>200.43600000000001</v>
      </c>
      <c r="H4" s="238">
        <v>174.101</v>
      </c>
      <c r="I4" s="238">
        <v>167.48599999999999</v>
      </c>
      <c r="J4" s="238">
        <v>204.52600000000001</v>
      </c>
      <c r="K4" s="238">
        <v>194.63900000000001</v>
      </c>
      <c r="L4" s="238">
        <v>192.40700000000001</v>
      </c>
      <c r="M4" s="238">
        <v>182.42</v>
      </c>
      <c r="N4" s="238">
        <v>198.85300000000001</v>
      </c>
      <c r="O4" s="238">
        <v>205.85300000000001</v>
      </c>
      <c r="P4" s="34">
        <f>SUM(D4:O4)</f>
        <v>2318.547</v>
      </c>
    </row>
    <row r="5" spans="1:22" ht="18" customHeight="1" thickTop="1" thickBot="1">
      <c r="B5" s="260"/>
      <c r="C5" s="29" t="s">
        <v>8</v>
      </c>
      <c r="D5" s="34">
        <f t="shared" ref="D5:O5" si="0">+D3+D4</f>
        <v>343.76099999999997</v>
      </c>
      <c r="E5" s="171">
        <f t="shared" si="0"/>
        <v>417.26499999999999</v>
      </c>
      <c r="F5" s="171">
        <f t="shared" si="0"/>
        <v>473.9</v>
      </c>
      <c r="G5" s="171">
        <f t="shared" si="0"/>
        <v>463.01200000000006</v>
      </c>
      <c r="H5" s="171">
        <f t="shared" si="0"/>
        <v>438.10599999999999</v>
      </c>
      <c r="I5" s="171">
        <f t="shared" si="0"/>
        <v>413.52099999999996</v>
      </c>
      <c r="J5" s="171">
        <f t="shared" si="0"/>
        <v>463.815</v>
      </c>
      <c r="K5" s="171">
        <f t="shared" si="0"/>
        <v>455.31100000000004</v>
      </c>
      <c r="L5" s="171">
        <f t="shared" si="0"/>
        <v>434.73500000000001</v>
      </c>
      <c r="M5" s="171">
        <f t="shared" si="0"/>
        <v>446.18799999999999</v>
      </c>
      <c r="N5" s="171">
        <f t="shared" si="0"/>
        <v>456.02699999999999</v>
      </c>
      <c r="O5" s="171">
        <f t="shared" si="0"/>
        <v>356.10900000000004</v>
      </c>
      <c r="P5" s="34">
        <f>SUM(D5:O5)</f>
        <v>5161.75</v>
      </c>
    </row>
    <row r="6" spans="1:22" ht="18" customHeight="1" thickTop="1" thickBot="1">
      <c r="B6" s="260"/>
      <c r="C6" s="32" t="s">
        <v>179</v>
      </c>
      <c r="D6" s="35">
        <f>+(D5-'Producción Acero Crudo 2017'!D5)/'Producción Acero Crudo 2017'!D5</f>
        <v>0.18007648367341311</v>
      </c>
      <c r="E6" s="35">
        <f>+(E5-'Producción Acero Crudo 2017'!E5)/'Producción Acero Crudo 2017'!E5</f>
        <v>0.36749909874479725</v>
      </c>
      <c r="F6" s="35">
        <f>+(F5-'Producción Acero Crudo 2017'!F5)/'Producción Acero Crudo 2017'!F5</f>
        <v>0.20814266229875969</v>
      </c>
      <c r="G6" s="35">
        <f>+(G5-'Producción Acero Crudo 2017'!G5)/'Producción Acero Crudo 2017'!G5</f>
        <v>0.26014005426898829</v>
      </c>
      <c r="H6" s="35">
        <f>+(H5-'Producción Acero Crudo 2017'!H5)/'Producción Acero Crudo 2017'!H5</f>
        <v>0.11173253822241945</v>
      </c>
      <c r="I6" s="35">
        <f>+(I5-'Producción Acero Crudo 2017'!I5)/'Producción Acero Crudo 2017'!I5</f>
        <v>0.11107498770759365</v>
      </c>
      <c r="J6" s="148">
        <f>+(J5-'Producción Acero Crudo 2017'!J5)/'Producción Acero Crudo 2017'!J5</f>
        <v>0.16288952906753723</v>
      </c>
      <c r="K6" s="35">
        <f>+(K5-'Producción Acero Crudo 2017'!K5)/'Producción Acero Crudo 2017'!K5</f>
        <v>9.0784732736646362E-2</v>
      </c>
      <c r="L6" s="35">
        <f>+(L5-'Producción Acero Crudo 2017'!L5)/'Producción Acero Crudo 2017'!L5</f>
        <v>2.8379279837629959E-2</v>
      </c>
      <c r="M6" s="35">
        <f>+(M5-'Producción Acero Crudo 2017'!M5)/'Producción Acero Crudo 2017'!M5</f>
        <v>-2.1268554073789621E-3</v>
      </c>
      <c r="N6" s="35">
        <f>+(N5-'Producción Acero Crudo 2017'!N5)/'Producción Acero Crudo 2017'!N5</f>
        <v>4.8431928379785716E-2</v>
      </c>
      <c r="O6" s="35">
        <f>+(O5-'Producción Acero Crudo 2017'!O5)/'Producción Acero Crudo 2017'!O5</f>
        <v>-6.4935576450941113E-2</v>
      </c>
      <c r="P6" s="139">
        <f ca="1">(P5-SUM('Producción Acero Crudo 2017'!$D5:OFFSET('Producción Acero Crudo 2017'!$D5,0,Índice!$Y$4)))/SUM('Producción Acero Crudo 2017'!$D5:OFFSET('Producción Acero Crudo 2017'!$D5,0,Índice!$Y$4))</f>
        <v>0.11621961657448017</v>
      </c>
      <c r="T6" s="66">
        <f>SUM(N7:N9)</f>
        <v>5688</v>
      </c>
      <c r="U6" s="66">
        <f>SUM(O7:O9)</f>
        <v>5288</v>
      </c>
    </row>
    <row r="7" spans="1:22" ht="18" customHeight="1" thickTop="1" thickBot="1">
      <c r="B7" s="260" t="s">
        <v>37</v>
      </c>
      <c r="C7" s="29" t="s">
        <v>13</v>
      </c>
      <c r="D7" s="171">
        <v>608</v>
      </c>
      <c r="E7" s="171">
        <v>648</v>
      </c>
      <c r="F7" s="171">
        <v>661</v>
      </c>
      <c r="G7" s="34">
        <v>685</v>
      </c>
      <c r="H7" s="34">
        <v>561</v>
      </c>
      <c r="I7" s="171">
        <v>653</v>
      </c>
      <c r="J7" s="147">
        <v>653</v>
      </c>
      <c r="K7" s="34">
        <v>620</v>
      </c>
      <c r="L7" s="34">
        <v>643</v>
      </c>
      <c r="M7" s="34">
        <v>656</v>
      </c>
      <c r="N7" s="34">
        <v>630</v>
      </c>
      <c r="O7" s="34">
        <v>329</v>
      </c>
      <c r="P7" s="34">
        <f>SUM(D7:O7)</f>
        <v>7347</v>
      </c>
      <c r="T7" s="36">
        <f>1</f>
        <v>1</v>
      </c>
      <c r="U7" s="36">
        <f>U6/T6</f>
        <v>0.92967651195499301</v>
      </c>
      <c r="V7" s="248">
        <f>T7-U7</f>
        <v>7.0323488045006988E-2</v>
      </c>
    </row>
    <row r="8" spans="1:22" ht="18" customHeight="1" thickTop="1" thickBot="1">
      <c r="B8" s="260"/>
      <c r="C8" s="29" t="s">
        <v>14</v>
      </c>
      <c r="D8" s="171">
        <v>2258</v>
      </c>
      <c r="E8" s="171">
        <v>2066</v>
      </c>
      <c r="F8" s="171">
        <v>2404</v>
      </c>
      <c r="G8" s="34">
        <v>2264</v>
      </c>
      <c r="H8" s="34">
        <v>2118</v>
      </c>
      <c r="I8" s="171">
        <v>2267</v>
      </c>
      <c r="J8" s="147">
        <v>2369</v>
      </c>
      <c r="K8" s="34">
        <v>2227</v>
      </c>
      <c r="L8" s="34">
        <v>2389</v>
      </c>
      <c r="M8" s="34">
        <v>2497</v>
      </c>
      <c r="N8" s="34">
        <v>2214</v>
      </c>
      <c r="O8" s="34">
        <v>2315</v>
      </c>
      <c r="P8" s="34">
        <f>SUM(D8:O8)</f>
        <v>27388</v>
      </c>
    </row>
    <row r="9" spans="1:22" ht="18" customHeight="1" thickTop="1" thickBot="1">
      <c r="B9" s="260"/>
      <c r="C9" s="29" t="s">
        <v>8</v>
      </c>
      <c r="D9" s="171">
        <f t="shared" ref="D9:O9" si="1">+D7+D8</f>
        <v>2866</v>
      </c>
      <c r="E9" s="171">
        <f t="shared" si="1"/>
        <v>2714</v>
      </c>
      <c r="F9" s="171">
        <f t="shared" si="1"/>
        <v>3065</v>
      </c>
      <c r="G9" s="171">
        <f t="shared" si="1"/>
        <v>2949</v>
      </c>
      <c r="H9" s="171">
        <f t="shared" si="1"/>
        <v>2679</v>
      </c>
      <c r="I9" s="171">
        <f t="shared" si="1"/>
        <v>2920</v>
      </c>
      <c r="J9" s="171">
        <f t="shared" si="1"/>
        <v>3022</v>
      </c>
      <c r="K9" s="171">
        <f t="shared" si="1"/>
        <v>2847</v>
      </c>
      <c r="L9" s="171">
        <f t="shared" si="1"/>
        <v>3032</v>
      </c>
      <c r="M9" s="171">
        <f t="shared" si="1"/>
        <v>3153</v>
      </c>
      <c r="N9" s="171">
        <f t="shared" si="1"/>
        <v>2844</v>
      </c>
      <c r="O9" s="171">
        <f t="shared" si="1"/>
        <v>2644</v>
      </c>
      <c r="P9" s="34">
        <f>SUM(D9:O9)</f>
        <v>34735</v>
      </c>
      <c r="S9" s="45">
        <f>+P9/P61</f>
        <v>0.53353515189543133</v>
      </c>
    </row>
    <row r="10" spans="1:22" ht="18" customHeight="1" thickTop="1" thickBot="1">
      <c r="B10" s="260"/>
      <c r="C10" s="32" t="s">
        <v>179</v>
      </c>
      <c r="D10" s="35">
        <f>+(D9-'Producción Acero Crudo 2017'!D9)/'Producción Acero Crudo 2017'!D9</f>
        <v>1.3437057991513438E-2</v>
      </c>
      <c r="E10" s="35">
        <f>+(E9-'Producción Acero Crudo 2017'!E9)/'Producción Acero Crudo 2017'!E9</f>
        <v>5.52099533437014E-2</v>
      </c>
      <c r="F10" s="35">
        <f>+(F9-'Producción Acero Crudo 2017'!F9)/'Producción Acero Crudo 2017'!F9</f>
        <v>7.61938202247191E-2</v>
      </c>
      <c r="G10" s="35">
        <f>+(G9-'Producción Acero Crudo 2017'!G9)/'Producción Acero Crudo 2017'!G9</f>
        <v>1.8652849740932641E-2</v>
      </c>
      <c r="H10" s="35">
        <f>+(H9-'Producción Acero Crudo 2017'!H9)/'Producción Acero Crudo 2017'!H9</f>
        <v>-8.5977482088024568E-2</v>
      </c>
      <c r="I10" s="35">
        <f>+(I9-'Producción Acero Crudo 2017'!I9)/'Producción Acero Crudo 2017'!I9</f>
        <v>0.10230275575688939</v>
      </c>
      <c r="J10" s="148">
        <f>+(J9-'Producción Acero Crudo 2017'!J9)/'Producción Acero Crudo 2017'!J9</f>
        <v>6.7467326033203809E-2</v>
      </c>
      <c r="K10" s="35">
        <f>+(K9-'Producción Acero Crudo 2017'!K9)/'Producción Acero Crudo 2017'!K9</f>
        <v>-3.654822335025381E-2</v>
      </c>
      <c r="L10" s="35">
        <f>+(L9-'Producción Acero Crudo 2017'!L9)/'Producción Acero Crudo 2017'!L9</f>
        <v>2.4670496789455897E-2</v>
      </c>
      <c r="M10" s="35">
        <f>+(M9-'Producción Acero Crudo 2017'!M9)/'Producción Acero Crudo 2017'!M9</f>
        <v>3.5467980295566505E-2</v>
      </c>
      <c r="N10" s="35">
        <f>+(N9-'Producción Acero Crudo 2017'!N9)/'Producción Acero Crudo 2017'!N9</f>
        <v>-6.1386138613861385E-2</v>
      </c>
      <c r="O10" s="35">
        <f>+(O9-'Producción Acero Crudo 2017'!O9)/'Producción Acero Crudo 2017'!O9</f>
        <v>-6.3075832742735649E-2</v>
      </c>
      <c r="P10" s="139">
        <f ca="1">(P9-SUM('Producción Acero Crudo 2017'!$D9:OFFSET('Producción Acero Crudo 2017'!$D9,0,Índice!$Y$4)))/SUM('Producción Acero Crudo 2017'!$D9:OFFSET('Producción Acero Crudo 2017'!$D9,0,Índice!$Y$4))</f>
        <v>1.0766768514476938E-2</v>
      </c>
    </row>
    <row r="11" spans="1:22" ht="18" customHeight="1" thickTop="1" thickBot="1">
      <c r="B11" s="260" t="s">
        <v>1</v>
      </c>
      <c r="C11" s="29" t="s">
        <v>13</v>
      </c>
      <c r="D11" s="171">
        <v>23.677782999999998</v>
      </c>
      <c r="E11" s="171">
        <v>33.596290000000003</v>
      </c>
      <c r="F11" s="171">
        <v>40.54</v>
      </c>
      <c r="G11" s="171">
        <v>12.686999999999999</v>
      </c>
      <c r="H11" s="171">
        <v>12.385999999999999</v>
      </c>
      <c r="I11" s="171">
        <v>22.184999999999999</v>
      </c>
      <c r="J11" s="171">
        <v>29.518000000000001</v>
      </c>
      <c r="K11" s="171">
        <v>35.558999999999997</v>
      </c>
      <c r="L11" s="171">
        <v>26.697646799999998</v>
      </c>
      <c r="M11" s="171">
        <v>38.904000000000003</v>
      </c>
      <c r="N11" s="34">
        <v>41.94</v>
      </c>
      <c r="O11" s="34">
        <v>38.524926000000001</v>
      </c>
      <c r="P11" s="34">
        <f>SUM(D11:O11)</f>
        <v>356.2156458</v>
      </c>
      <c r="S11" s="242"/>
    </row>
    <row r="12" spans="1:22" ht="18" customHeight="1" thickTop="1" thickBot="1">
      <c r="B12" s="260"/>
      <c r="C12" s="29" t="s">
        <v>14</v>
      </c>
      <c r="D12" s="171">
        <v>68.524800000000027</v>
      </c>
      <c r="E12" s="171">
        <v>65.892000000000053</v>
      </c>
      <c r="F12" s="171">
        <v>65.740200000000058</v>
      </c>
      <c r="G12" s="171">
        <v>67.205299999999994</v>
      </c>
      <c r="H12" s="171">
        <v>67.927399999999963</v>
      </c>
      <c r="I12" s="171">
        <v>53.855499999999978</v>
      </c>
      <c r="J12" s="171">
        <v>66.290699999999944</v>
      </c>
      <c r="K12" s="171">
        <v>69.550000000000026</v>
      </c>
      <c r="L12" s="171">
        <v>73.981600000000086</v>
      </c>
      <c r="M12" s="171">
        <v>70.327800000000039</v>
      </c>
      <c r="N12" s="34">
        <v>64.489400000000018</v>
      </c>
      <c r="O12" s="34">
        <v>55.225999999999964</v>
      </c>
      <c r="P12" s="34">
        <f>SUM(D12:O12)</f>
        <v>789.01070000000016</v>
      </c>
    </row>
    <row r="13" spans="1:22" ht="18" customHeight="1" thickTop="1" thickBot="1">
      <c r="B13" s="260"/>
      <c r="C13" s="29" t="s">
        <v>8</v>
      </c>
      <c r="D13" s="34">
        <f t="shared" ref="D13:O13" si="2">+D11+D12</f>
        <v>92.202583000000033</v>
      </c>
      <c r="E13" s="171">
        <f t="shared" si="2"/>
        <v>99.488290000000063</v>
      </c>
      <c r="F13" s="171">
        <f t="shared" si="2"/>
        <v>106.28020000000006</v>
      </c>
      <c r="G13" s="171">
        <f t="shared" si="2"/>
        <v>79.892299999999992</v>
      </c>
      <c r="H13" s="171">
        <f t="shared" si="2"/>
        <v>80.313399999999959</v>
      </c>
      <c r="I13" s="171">
        <f t="shared" si="2"/>
        <v>76.04049999999998</v>
      </c>
      <c r="J13" s="171">
        <f t="shared" si="2"/>
        <v>95.808699999999945</v>
      </c>
      <c r="K13" s="171">
        <f t="shared" si="2"/>
        <v>105.10900000000002</v>
      </c>
      <c r="L13" s="171">
        <f t="shared" si="2"/>
        <v>100.67924680000009</v>
      </c>
      <c r="M13" s="171">
        <f t="shared" si="2"/>
        <v>109.23180000000005</v>
      </c>
      <c r="N13" s="171">
        <f t="shared" si="2"/>
        <v>106.42940000000002</v>
      </c>
      <c r="O13" s="171">
        <f t="shared" si="2"/>
        <v>93.750925999999964</v>
      </c>
      <c r="P13" s="34">
        <f>SUM(D13:O13)</f>
        <v>1145.2263458000002</v>
      </c>
    </row>
    <row r="14" spans="1:22" ht="18" customHeight="1" thickTop="1" thickBot="1">
      <c r="B14" s="260"/>
      <c r="C14" s="32" t="s">
        <v>179</v>
      </c>
      <c r="D14" s="35">
        <f>+(D13-'Producción Acero Crudo 2017'!D13)/'Producción Acero Crudo 2017'!D13</f>
        <v>-6.6823400182868198E-2</v>
      </c>
      <c r="E14" s="35">
        <f>+(E13-'Producción Acero Crudo 2017'!E13)/'Producción Acero Crudo 2017'!E13</f>
        <v>9.7221156119752516E-2</v>
      </c>
      <c r="F14" s="35">
        <f>+(F13-'Producción Acero Crudo 2017'!F13)/'Producción Acero Crudo 2017'!F13</f>
        <v>-2.6584809087701319E-2</v>
      </c>
      <c r="G14" s="35">
        <f>+(G13-'Producción Acero Crudo 2017'!G13)/'Producción Acero Crudo 2017'!G13</f>
        <v>-0.11784487923805244</v>
      </c>
      <c r="H14" s="35">
        <f>+(H13-'Producción Acero Crudo 2017'!H13)/'Producción Acero Crudo 2017'!H13</f>
        <v>-0.17360421476729329</v>
      </c>
      <c r="I14" s="35">
        <f>+(I13-'Producción Acero Crudo 2017'!I13)/'Producción Acero Crudo 2017'!I13</f>
        <v>-0.17759830585499739</v>
      </c>
      <c r="J14" s="35">
        <f>+(J13-'Producción Acero Crudo 2017'!J13)/'Producción Acero Crudo 2017'!J13</f>
        <v>-3.1316444659266203E-2</v>
      </c>
      <c r="K14" s="35">
        <f>+(K13-'Producción Acero Crudo 2017'!K13)/'Producción Acero Crudo 2017'!K13</f>
        <v>8.3390988127639384E-2</v>
      </c>
      <c r="L14" s="35">
        <f>+(L13-'Producción Acero Crudo 2017'!L13)/'Producción Acero Crudo 2017'!L13</f>
        <v>0.24377171281481869</v>
      </c>
      <c r="M14" s="35">
        <f>+(M13-'Producción Acero Crudo 2017'!M13)/'Producción Acero Crudo 2017'!M13</f>
        <v>4.9032163489511858E-2</v>
      </c>
      <c r="N14" s="35">
        <f>+(N13-'Producción Acero Crudo 2017'!N13)/'Producción Acero Crudo 2017'!N13</f>
        <v>6.8130929242716354E-2</v>
      </c>
      <c r="O14" s="35">
        <f>+(O13-'Producción Acero Crudo 2017'!O13)/'Producción Acero Crudo 2017'!O13</f>
        <v>-4.3482674668235861E-2</v>
      </c>
      <c r="P14" s="139">
        <f ca="1">(P13-SUM('Producción Acero Crudo 2017'!$D13:OFFSET('Producción Acero Crudo 2017'!$D13,0,Índice!$Y$4)))/SUM('Producción Acero Crudo 2017'!$D13:OFFSET('Producción Acero Crudo 2017'!$D13,0,Índice!$Y$4))</f>
        <v>-1.0623742300996655E-2</v>
      </c>
    </row>
    <row r="15" spans="1:22" ht="18" customHeight="1" thickTop="1" thickBot="1">
      <c r="B15" s="260" t="s">
        <v>2</v>
      </c>
      <c r="C15" s="29" t="s">
        <v>13</v>
      </c>
      <c r="D15" s="171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0</v>
      </c>
    </row>
    <row r="16" spans="1:22" ht="18" customHeight="1" thickTop="1" thickBot="1">
      <c r="B16" s="260"/>
      <c r="C16" s="29" t="s">
        <v>14</v>
      </c>
      <c r="D16" s="171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>
        <f>SUM(D16:O16)</f>
        <v>0</v>
      </c>
    </row>
    <row r="17" spans="2:16" ht="18" customHeight="1" thickTop="1" thickBot="1">
      <c r="B17" s="260"/>
      <c r="C17" s="29" t="s">
        <v>8</v>
      </c>
      <c r="D17" s="171">
        <v>87.953271999999998</v>
      </c>
      <c r="E17" s="171">
        <v>102.21355777320903</v>
      </c>
      <c r="F17" s="171">
        <v>85.348106999999999</v>
      </c>
      <c r="G17" s="171">
        <v>91.614853700000012</v>
      </c>
      <c r="H17" s="171">
        <v>99.667782908734054</v>
      </c>
      <c r="I17" s="171">
        <v>105.26485763395486</v>
      </c>
      <c r="J17" s="171">
        <v>115.29004300000001</v>
      </c>
      <c r="K17" s="171">
        <v>114.889</v>
      </c>
      <c r="L17" s="171">
        <v>100.206</v>
      </c>
      <c r="M17" s="171">
        <v>107.562</v>
      </c>
      <c r="N17" s="170">
        <v>108</v>
      </c>
      <c r="O17" s="170">
        <v>101</v>
      </c>
      <c r="P17" s="34">
        <f>SUM(D17:O17)</f>
        <v>1219.0094740158979</v>
      </c>
    </row>
    <row r="18" spans="2:16" ht="18" customHeight="1" thickTop="1" thickBot="1">
      <c r="B18" s="260"/>
      <c r="C18" s="32" t="s">
        <v>179</v>
      </c>
      <c r="D18" s="35">
        <f>+(D17-'Producción Acero Crudo 2017'!D17)/'Producción Acero Crudo 2017'!D17</f>
        <v>-5.6262627651021371E-2</v>
      </c>
      <c r="E18" s="35">
        <f>+(E17-'Producción Acero Crudo 2017'!E17)/'Producción Acero Crudo 2017'!E17</f>
        <v>-6.1096430406550953E-2</v>
      </c>
      <c r="F18" s="35">
        <f>+(F17-'Producción Acero Crudo 2017'!F17)/'Producción Acero Crudo 2017'!F17</f>
        <v>-0.26962525864086695</v>
      </c>
      <c r="G18" s="35">
        <f>+(G17-'Producción Acero Crudo 2017'!G17)/'Producción Acero Crudo 2017'!G17</f>
        <v>-0.1272871140559354</v>
      </c>
      <c r="H18" s="35">
        <f>+(H17-'Producción Acero Crudo 2017'!H17)/'Producción Acero Crudo 2017'!H17</f>
        <v>-4.9066219193325593E-2</v>
      </c>
      <c r="I18" s="35">
        <f>+(I17-'Producción Acero Crudo 2017'!I17)/'Producción Acero Crudo 2017'!I17</f>
        <v>-4.409988132297718E-2</v>
      </c>
      <c r="J18" s="35">
        <f>+(J17-'Producción Acero Crudo 2017'!J17)/'Producción Acero Crudo 2017'!J17</f>
        <v>1.5091595055293531E-2</v>
      </c>
      <c r="K18" s="35">
        <f>+(K17-'Producción Acero Crudo 2017'!K17)/'Producción Acero Crudo 2017'!K17</f>
        <v>6.9224404094094069E-2</v>
      </c>
      <c r="L18" s="35">
        <f>+(L17-'Producción Acero Crudo 2017'!L17)/'Producción Acero Crudo 2017'!L17</f>
        <v>0.12466033671952929</v>
      </c>
      <c r="M18" s="35">
        <f>+(M17-'Producción Acero Crudo 2017'!M17)/'Producción Acero Crudo 2017'!M17</f>
        <v>0.20722027761038264</v>
      </c>
      <c r="N18" s="172">
        <f>+(N17-'Producción Acero Crudo 2017'!N17)/'Producción Acero Crudo 2017'!N17</f>
        <v>-4.1320052861931827E-2</v>
      </c>
      <c r="O18" s="172">
        <f>+(O17-'Producción Acero Crudo 2017'!O17)/'Producción Acero Crudo 2017'!O17</f>
        <v>-1.0322308921580842E-2</v>
      </c>
      <c r="P18" s="139">
        <f ca="1">(P17-SUM('Producción Acero Crudo 2017'!$D17:OFFSET('Producción Acero Crudo 2017'!$D17,0,Índice!$Y$4)))/SUM('Producción Acero Crudo 2017'!$D17:OFFSET('Producción Acero Crudo 2017'!$D17,0,Índice!$Y$4))</f>
        <v>-2.6939716306013349E-2</v>
      </c>
    </row>
    <row r="19" spans="2:16" ht="18" customHeight="1" thickTop="1" thickBot="1">
      <c r="B19" s="260" t="s">
        <v>9</v>
      </c>
      <c r="C19" s="29" t="s">
        <v>13</v>
      </c>
      <c r="D19" s="170">
        <f>+'Producción Acero Crudo 2017'!D19*1.02</f>
        <v>18.36</v>
      </c>
      <c r="E19" s="170">
        <f>+'Producción Acero Crudo 2017'!E19*1.02</f>
        <v>17.34</v>
      </c>
      <c r="F19" s="170">
        <f>+'Producción Acero Crudo 2017'!F19*1.02</f>
        <v>16.32</v>
      </c>
      <c r="G19" s="170">
        <f>+'Producción Acero Crudo 2017'!G19*1.02</f>
        <v>17.34</v>
      </c>
      <c r="H19" s="170">
        <f>+'Producción Acero Crudo 2017'!H19*1.02</f>
        <v>17.34</v>
      </c>
      <c r="I19" s="170">
        <f>+'Producción Acero Crudo 2017'!I19*1.02</f>
        <v>16.32</v>
      </c>
      <c r="J19" s="170">
        <f>+'Producción Acero Crudo 2017'!J19*1.02</f>
        <v>18.36</v>
      </c>
      <c r="K19" s="170">
        <f>+'Producción Acero Crudo 2017'!K19*1.02</f>
        <v>20.399999999999999</v>
      </c>
      <c r="L19" s="170">
        <f>+'Producción Acero Crudo 2017'!L19*1.02</f>
        <v>20.399999999999999</v>
      </c>
      <c r="M19" s="170">
        <f>+'Producción Acero Crudo 2017'!M19*1.02</f>
        <v>19.38</v>
      </c>
      <c r="N19" s="170">
        <f>+'Producción Acero Crudo 2017'!N19*1.02</f>
        <v>22.44</v>
      </c>
      <c r="O19" s="170">
        <f>+'Producción Acero Crudo 2017'!O19*1.02</f>
        <v>21.42</v>
      </c>
      <c r="P19" s="171">
        <f>SUM(D19:O19)</f>
        <v>225.42000000000002</v>
      </c>
    </row>
    <row r="20" spans="2:16" ht="18" customHeight="1" thickTop="1" thickBot="1">
      <c r="B20" s="260"/>
      <c r="C20" s="29" t="s">
        <v>14</v>
      </c>
      <c r="D20" s="170">
        <f>+'Producción Acero Crudo 2017'!D20*1.048</f>
        <v>0</v>
      </c>
      <c r="E20" s="170">
        <f>+'Producción Acero Crudo 2017'!E20*1.048</f>
        <v>0</v>
      </c>
      <c r="F20" s="170">
        <f>+'Producción Acero Crudo 2017'!F20*1.048</f>
        <v>0</v>
      </c>
      <c r="G20" s="170">
        <f>+'Producción Acero Crudo 2017'!G20*1.048</f>
        <v>0</v>
      </c>
      <c r="H20" s="170">
        <f>+'Producción Acero Crudo 2017'!H20*1.048</f>
        <v>0</v>
      </c>
      <c r="I20" s="170">
        <f>+'Producción Acero Crudo 2017'!I20*1.048</f>
        <v>0</v>
      </c>
      <c r="J20" s="170">
        <f>+'Producción Acero Crudo 2017'!J20*1.048</f>
        <v>0</v>
      </c>
      <c r="K20" s="170">
        <f>+'Producción Acero Crudo 2017'!K20*1.048</f>
        <v>0</v>
      </c>
      <c r="L20" s="170">
        <f>+'Producción Acero Crudo 2017'!L20*1.048</f>
        <v>0</v>
      </c>
      <c r="M20" s="170">
        <f>+'Producción Acero Crudo 2017'!M20*1.048</f>
        <v>0</v>
      </c>
      <c r="N20" s="170">
        <f>+'Producción Acero Crudo 2017'!N20*1.048</f>
        <v>0</v>
      </c>
      <c r="O20" s="170">
        <f>+'Producción Acero Crudo 2017'!O20*1.048</f>
        <v>0</v>
      </c>
      <c r="P20" s="34">
        <f>SUM(D20:O20)</f>
        <v>0</v>
      </c>
    </row>
    <row r="21" spans="2:16" ht="18" customHeight="1" thickTop="1" thickBot="1">
      <c r="B21" s="260"/>
      <c r="C21" s="29" t="s">
        <v>8</v>
      </c>
      <c r="D21" s="170">
        <f>+D19+D20</f>
        <v>18.36</v>
      </c>
      <c r="E21" s="170">
        <f>+E19+E20</f>
        <v>17.34</v>
      </c>
      <c r="F21" s="170">
        <f t="shared" ref="F21:O21" si="3">+F19+F20</f>
        <v>16.32</v>
      </c>
      <c r="G21" s="170">
        <f t="shared" si="3"/>
        <v>17.34</v>
      </c>
      <c r="H21" s="170">
        <f t="shared" si="3"/>
        <v>17.34</v>
      </c>
      <c r="I21" s="170">
        <f t="shared" si="3"/>
        <v>16.32</v>
      </c>
      <c r="J21" s="170">
        <f t="shared" si="3"/>
        <v>18.36</v>
      </c>
      <c r="K21" s="170">
        <f t="shared" si="3"/>
        <v>20.399999999999999</v>
      </c>
      <c r="L21" s="170">
        <f t="shared" si="3"/>
        <v>20.399999999999999</v>
      </c>
      <c r="M21" s="170">
        <f t="shared" si="3"/>
        <v>19.38</v>
      </c>
      <c r="N21" s="170">
        <f t="shared" si="3"/>
        <v>22.44</v>
      </c>
      <c r="O21" s="170">
        <f t="shared" si="3"/>
        <v>21.42</v>
      </c>
      <c r="P21" s="34">
        <f>SUM(D21:O21)</f>
        <v>225.42000000000002</v>
      </c>
    </row>
    <row r="22" spans="2:16" ht="18" customHeight="1" thickTop="1" thickBot="1">
      <c r="B22" s="260"/>
      <c r="C22" s="32" t="s">
        <v>179</v>
      </c>
      <c r="D22" s="172">
        <f>+(D21-'Producción Acero Crudo 2017'!D21)/'Producción Acero Crudo 2017'!D21</f>
        <v>1.9999999999999969E-2</v>
      </c>
      <c r="E22" s="172">
        <f>+(E21-'Producción Acero Crudo 2017'!E21)/'Producción Acero Crudo 2017'!E21</f>
        <v>1.999999999999999E-2</v>
      </c>
      <c r="F22" s="172">
        <f>+(F21-'Producción Acero Crudo 2017'!F21)/'Producción Acero Crudo 2017'!F21</f>
        <v>2.0000000000000018E-2</v>
      </c>
      <c r="G22" s="172">
        <f>+(G21-'Producción Acero Crudo 2017'!G21)/'Producción Acero Crudo 2017'!G21</f>
        <v>1.999999999999999E-2</v>
      </c>
      <c r="H22" s="172">
        <f>+(H21-'Producción Acero Crudo 2017'!H21)/'Producción Acero Crudo 2017'!H21</f>
        <v>1.999999999999999E-2</v>
      </c>
      <c r="I22" s="172">
        <f>+(I21-'Producción Acero Crudo 2017'!I21)/'Producción Acero Crudo 2017'!I21</f>
        <v>2.0000000000000018E-2</v>
      </c>
      <c r="J22" s="172">
        <f>+(J21-'Producción Acero Crudo 2017'!J21)/'Producción Acero Crudo 2017'!J21</f>
        <v>1.9999999999999969E-2</v>
      </c>
      <c r="K22" s="172">
        <f>+(K21-'Producción Acero Crudo 2017'!K21)/'Producción Acero Crudo 2017'!K21</f>
        <v>1.9999999999999928E-2</v>
      </c>
      <c r="L22" s="172">
        <f>+(L21-'Producción Acero Crudo 2017'!L21)/'Producción Acero Crudo 2017'!L21</f>
        <v>1.9999999999999928E-2</v>
      </c>
      <c r="M22" s="172">
        <f>+(M21-'Producción Acero Crudo 2017'!M21)/'Producción Acero Crudo 2017'!M21</f>
        <v>1.9999999999999948E-2</v>
      </c>
      <c r="N22" s="172">
        <f>+(N21-'Producción Acero Crudo 2017'!N21)/'Producción Acero Crudo 2017'!N21</f>
        <v>2.0000000000000059E-2</v>
      </c>
      <c r="O22" s="172">
        <f>+(O21-'Producción Acero Crudo 2017'!O21)/'Producción Acero Crudo 2017'!O21</f>
        <v>2.000000000000008E-2</v>
      </c>
      <c r="P22" s="139">
        <f ca="1">(P21-SUM('Producción Acero Crudo 2017'!$D21:OFFSET('Producción Acero Crudo 2017'!$D21,0,Índice!$Y$4)))/SUM('Producción Acero Crudo 2017'!$D21:OFFSET('Producción Acero Crudo 2017'!$D21,0,Índice!$Y$4))</f>
        <v>2.0000000000000073E-2</v>
      </c>
    </row>
    <row r="23" spans="2:16" ht="18" customHeight="1" thickTop="1">
      <c r="B23" s="256" t="s">
        <v>4</v>
      </c>
      <c r="C23" s="29" t="s">
        <v>13</v>
      </c>
      <c r="D23" s="170">
        <f>+'Producción Acero Crudo 2017'!D23*1.04</f>
        <v>48.88</v>
      </c>
      <c r="E23" s="170">
        <f>+'Producción Acero Crudo 2017'!E23*1.04</f>
        <v>49.92</v>
      </c>
      <c r="F23" s="170">
        <f>+'Producción Acero Crudo 2017'!F23*1.04</f>
        <v>47.84</v>
      </c>
      <c r="G23" s="170">
        <f>+'Producción Acero Crudo 2017'!G23*1.04</f>
        <v>46.800000000000004</v>
      </c>
      <c r="H23" s="170">
        <f>+'Producción Acero Crudo 2017'!H23*1.04</f>
        <v>48.88</v>
      </c>
      <c r="I23" s="170">
        <f>+'Producción Acero Crudo 2017'!I23*1.04</f>
        <v>47.84</v>
      </c>
      <c r="J23" s="170">
        <f>+'Producción Acero Crudo 2017'!J23*1.04</f>
        <v>50.96</v>
      </c>
      <c r="K23" s="170">
        <f>+'Producción Acero Crudo 2017'!K23*1.04</f>
        <v>50.96</v>
      </c>
      <c r="L23" s="170">
        <f>+'Producción Acero Crudo 2017'!L23*1.04</f>
        <v>49.92</v>
      </c>
      <c r="M23" s="170">
        <f>+'Producción Acero Crudo 2017'!M23*1.04</f>
        <v>44.72</v>
      </c>
      <c r="N23" s="170">
        <f>+'Producción Acero Crudo 2017'!N23*1.04</f>
        <v>48.88</v>
      </c>
      <c r="O23" s="170">
        <f>+'Producción Acero Crudo 2017'!O23*1.04</f>
        <v>47.84</v>
      </c>
      <c r="P23" s="34">
        <f>SUM(D23:O23)</f>
        <v>583.44000000000005</v>
      </c>
    </row>
    <row r="24" spans="2:16" ht="18" customHeight="1">
      <c r="B24" s="257"/>
      <c r="C24" s="29" t="s">
        <v>14</v>
      </c>
      <c r="D24" s="170">
        <f>+'Producción Acero Crudo 2017'!D24*1.048</f>
        <v>0</v>
      </c>
      <c r="E24" s="170">
        <f>+'Producción Acero Crudo 2017'!E24*1.048</f>
        <v>0</v>
      </c>
      <c r="F24" s="170">
        <f>+'Producción Acero Crudo 2017'!F24*1.048</f>
        <v>0</v>
      </c>
      <c r="G24" s="170">
        <f>+'Producción Acero Crudo 2017'!G24*1.048</f>
        <v>0</v>
      </c>
      <c r="H24" s="170">
        <f>+'Producción Acero Crudo 2017'!H24*1.048</f>
        <v>0</v>
      </c>
      <c r="I24" s="170">
        <f>+'Producción Acero Crudo 2017'!I24*1.048</f>
        <v>0</v>
      </c>
      <c r="J24" s="170">
        <f>+'Producción Acero Crudo 2017'!J24*1.048</f>
        <v>0</v>
      </c>
      <c r="K24" s="170">
        <f>+'Producción Acero Crudo 2017'!K24*1.048</f>
        <v>0</v>
      </c>
      <c r="L24" s="170">
        <f>+'Producción Acero Crudo 2017'!L24*1.048</f>
        <v>0</v>
      </c>
      <c r="M24" s="170">
        <f>+'Producción Acero Crudo 2017'!M24*1.048</f>
        <v>0</v>
      </c>
      <c r="N24" s="170">
        <f>+'Producción Acero Crudo 2017'!N24*1.048</f>
        <v>0</v>
      </c>
      <c r="O24" s="170">
        <f>+'Producción Acero Crudo 2017'!O24*1.048</f>
        <v>0</v>
      </c>
      <c r="P24" s="34">
        <f>SUM(D24:O24)</f>
        <v>0</v>
      </c>
    </row>
    <row r="25" spans="2:16" ht="18" customHeight="1">
      <c r="B25" s="257"/>
      <c r="C25" s="29" t="s">
        <v>8</v>
      </c>
      <c r="D25" s="170">
        <f>+D23+D24</f>
        <v>48.88</v>
      </c>
      <c r="E25" s="170">
        <f>+E23+E24</f>
        <v>49.92</v>
      </c>
      <c r="F25" s="170">
        <f>+F23+F24</f>
        <v>47.84</v>
      </c>
      <c r="G25" s="170">
        <f t="shared" ref="G25" si="4">+G23+G24</f>
        <v>46.800000000000004</v>
      </c>
      <c r="H25" s="170">
        <f t="shared" ref="H25:O25" si="5">+H23+H24</f>
        <v>48.88</v>
      </c>
      <c r="I25" s="170">
        <f t="shared" ref="I25" si="6">+I23+I24</f>
        <v>47.84</v>
      </c>
      <c r="J25" s="170">
        <f t="shared" si="5"/>
        <v>50.96</v>
      </c>
      <c r="K25" s="170">
        <f t="shared" si="5"/>
        <v>50.96</v>
      </c>
      <c r="L25" s="170">
        <f t="shared" si="5"/>
        <v>49.92</v>
      </c>
      <c r="M25" s="170">
        <f t="shared" si="5"/>
        <v>44.72</v>
      </c>
      <c r="N25" s="170">
        <f t="shared" si="5"/>
        <v>48.88</v>
      </c>
      <c r="O25" s="170">
        <f t="shared" si="5"/>
        <v>47.84</v>
      </c>
      <c r="P25" s="34">
        <f>SUM(D25:O25)</f>
        <v>583.44000000000005</v>
      </c>
    </row>
    <row r="26" spans="2:16" ht="18" customHeight="1" thickBot="1">
      <c r="B26" s="258"/>
      <c r="C26" s="32" t="s">
        <v>179</v>
      </c>
      <c r="D26" s="172">
        <f>+(D25-'Producción Acero Crudo 2017'!D25)/'Producción Acero Crudo 2017'!D25</f>
        <v>4.0000000000000056E-2</v>
      </c>
      <c r="E26" s="172">
        <f>+(E25-'Producción Acero Crudo 2017'!E25)/'Producción Acero Crudo 2017'!E25</f>
        <v>4.0000000000000036E-2</v>
      </c>
      <c r="F26" s="172">
        <f>+(F25-'Producción Acero Crudo 2017'!F25)/'Producción Acero Crudo 2017'!F25</f>
        <v>4.0000000000000077E-2</v>
      </c>
      <c r="G26" s="172">
        <f>+(G25-'Producción Acero Crudo 2017'!G25)/'Producción Acero Crudo 2017'!G25</f>
        <v>4.0000000000000098E-2</v>
      </c>
      <c r="H26" s="172">
        <f>+(H25-'Producción Acero Crudo 2017'!H25)/'Producción Acero Crudo 2017'!H25</f>
        <v>4.0000000000000056E-2</v>
      </c>
      <c r="I26" s="172">
        <f>+(I25-'Producción Acero Crudo 2017'!I25)/'Producción Acero Crudo 2017'!I25</f>
        <v>4.0000000000000077E-2</v>
      </c>
      <c r="J26" s="172">
        <f>+(J25-'Producción Acero Crudo 2017'!J25)/'Producción Acero Crudo 2017'!J25</f>
        <v>4.0000000000000015E-2</v>
      </c>
      <c r="K26" s="172">
        <f>+(K25-'Producción Acero Crudo 2017'!K25)/'Producción Acero Crudo 2017'!K25</f>
        <v>4.0000000000000015E-2</v>
      </c>
      <c r="L26" s="172">
        <f>+(L25-'Producción Acero Crudo 2017'!L25)/'Producción Acero Crudo 2017'!L25</f>
        <v>4.0000000000000036E-2</v>
      </c>
      <c r="M26" s="172">
        <f>+(M25-'Producción Acero Crudo 2017'!M25)/'Producción Acero Crudo 2017'!M25</f>
        <v>3.9999999999999973E-2</v>
      </c>
      <c r="N26" s="172">
        <f>+(N25-'Producción Acero Crudo 2017'!N25)/'Producción Acero Crudo 2017'!N25</f>
        <v>4.0000000000000056E-2</v>
      </c>
      <c r="O26" s="172">
        <f>+(O25-'Producción Acero Crudo 2017'!O25)/'Producción Acero Crudo 2017'!O25</f>
        <v>4.0000000000000077E-2</v>
      </c>
      <c r="P26" s="139">
        <f ca="1">(P25-SUM('Producción Acero Crudo 2017'!$D25:OFFSET('Producción Acero Crudo 2017'!$D25,0,Índice!$Y$4)))/SUM('Producción Acero Crudo 2017'!$D25:OFFSET('Producción Acero Crudo 2017'!$D25,0,Índice!$Y$4))</f>
        <v>4.0000000000000098E-2</v>
      </c>
    </row>
    <row r="27" spans="2:16" ht="18" customHeight="1" thickTop="1">
      <c r="B27" s="256" t="s">
        <v>10</v>
      </c>
      <c r="C27" s="29" t="s">
        <v>13</v>
      </c>
      <c r="D27" s="170">
        <f>+'Producción Acero Crudo 2017'!D27*1.03</f>
        <v>8.24</v>
      </c>
      <c r="E27" s="170">
        <f>+'Producción Acero Crudo 2017'!E27*1.03</f>
        <v>8.24</v>
      </c>
      <c r="F27" s="170">
        <f>+'Producción Acero Crudo 2017'!F27*1.03</f>
        <v>7.7250000000000005</v>
      </c>
      <c r="G27" s="170">
        <f>+'Producción Acero Crudo 2017'!G27*1.03</f>
        <v>7.5190000000000001</v>
      </c>
      <c r="H27" s="170">
        <f>+'Producción Acero Crudo 2017'!H27*1.03</f>
        <v>7.7250000000000005</v>
      </c>
      <c r="I27" s="170">
        <f>+'Producción Acero Crudo 2017'!I27*1.03</f>
        <v>7.21</v>
      </c>
      <c r="J27" s="170">
        <f>+'Producción Acero Crudo 2017'!J27*1.03</f>
        <v>9.27</v>
      </c>
      <c r="K27" s="170">
        <f>+'Producción Acero Crudo 2017'!K27*1.03</f>
        <v>8.24</v>
      </c>
      <c r="L27" s="170">
        <f>+'Producción Acero Crudo 2017'!L27*1.03</f>
        <v>9.27</v>
      </c>
      <c r="M27" s="170">
        <f>+'Producción Acero Crudo 2017'!M27*1.03</f>
        <v>8.24</v>
      </c>
      <c r="N27" s="170">
        <f>+'Producción Acero Crudo 2017'!N27*1.03</f>
        <v>9.27</v>
      </c>
      <c r="O27" s="170">
        <f>+'Producción Acero Crudo 2017'!O27*1.03</f>
        <v>8.24</v>
      </c>
      <c r="P27" s="34">
        <f>SUM(D27:O27)</f>
        <v>99.188999999999979</v>
      </c>
    </row>
    <row r="28" spans="2:16" ht="18" customHeight="1">
      <c r="B28" s="257"/>
      <c r="C28" s="29" t="s">
        <v>14</v>
      </c>
      <c r="D28" s="170">
        <f>+'Producción Acero Crudo 2017'!D28*1.048</f>
        <v>0</v>
      </c>
      <c r="E28" s="170">
        <f>+'Producción Acero Crudo 2017'!E28*1.048</f>
        <v>0</v>
      </c>
      <c r="F28" s="170">
        <f>+'Producción Acero Crudo 2017'!F28*1.048</f>
        <v>0</v>
      </c>
      <c r="G28" s="170">
        <f>+'Producción Acero Crudo 2017'!G28*1.048</f>
        <v>0</v>
      </c>
      <c r="H28" s="170">
        <f>+'Producción Acero Crudo 2017'!H28*1.048</f>
        <v>0</v>
      </c>
      <c r="I28" s="170">
        <f>+'Producción Acero Crudo 2017'!I28*1.048</f>
        <v>0</v>
      </c>
      <c r="J28" s="170">
        <f>+'Producción Acero Crudo 2017'!J28*1.048</f>
        <v>0</v>
      </c>
      <c r="K28" s="170">
        <f>+'Producción Acero Crudo 2017'!K28*1.048</f>
        <v>0</v>
      </c>
      <c r="L28" s="170">
        <f>+'Producción Acero Crudo 2017'!L28*1.048</f>
        <v>0</v>
      </c>
      <c r="M28" s="170">
        <f>+'Producción Acero Crudo 2017'!M28*1.048</f>
        <v>0</v>
      </c>
      <c r="N28" s="170">
        <f>+'Producción Acero Crudo 2017'!N28*1.048</f>
        <v>0</v>
      </c>
      <c r="O28" s="170">
        <f>+'Producción Acero Crudo 2017'!O28*1.048</f>
        <v>0</v>
      </c>
      <c r="P28" s="34">
        <f>SUM(D28:O28)</f>
        <v>0</v>
      </c>
    </row>
    <row r="29" spans="2:16" ht="18" customHeight="1">
      <c r="B29" s="257"/>
      <c r="C29" s="29" t="s">
        <v>8</v>
      </c>
      <c r="D29" s="170">
        <f>+D27+D28</f>
        <v>8.24</v>
      </c>
      <c r="E29" s="170">
        <f>+E27+E28</f>
        <v>8.24</v>
      </c>
      <c r="F29" s="170">
        <f>+F27+F28</f>
        <v>7.7250000000000005</v>
      </c>
      <c r="G29" s="170">
        <f t="shared" ref="G29" si="7">+G27+G28</f>
        <v>7.5190000000000001</v>
      </c>
      <c r="H29" s="170">
        <f t="shared" ref="H29:O29" si="8">+H27+H28</f>
        <v>7.7250000000000005</v>
      </c>
      <c r="I29" s="170">
        <f t="shared" ref="I29:J29" si="9">+I27+I28</f>
        <v>7.21</v>
      </c>
      <c r="J29" s="170">
        <f t="shared" si="9"/>
        <v>9.27</v>
      </c>
      <c r="K29" s="170">
        <f t="shared" si="8"/>
        <v>8.24</v>
      </c>
      <c r="L29" s="170">
        <f t="shared" si="8"/>
        <v>9.27</v>
      </c>
      <c r="M29" s="170">
        <f t="shared" si="8"/>
        <v>8.24</v>
      </c>
      <c r="N29" s="170">
        <f t="shared" si="8"/>
        <v>9.27</v>
      </c>
      <c r="O29" s="34">
        <f t="shared" si="8"/>
        <v>8.24</v>
      </c>
      <c r="P29" s="34">
        <f>SUM(D29:O29)</f>
        <v>99.188999999999979</v>
      </c>
    </row>
    <row r="30" spans="2:16" ht="18" customHeight="1" thickBot="1">
      <c r="B30" s="258"/>
      <c r="C30" s="32" t="s">
        <v>179</v>
      </c>
      <c r="D30" s="172">
        <f>+(D29-'Producción Acero Crudo 2017'!D29)/'Producción Acero Crudo 2017'!D29</f>
        <v>3.0000000000000027E-2</v>
      </c>
      <c r="E30" s="172">
        <f>+(E29-'Producción Acero Crudo 2017'!E29)/'Producción Acero Crudo 2017'!E29</f>
        <v>3.0000000000000027E-2</v>
      </c>
      <c r="F30" s="172">
        <f>+(F29-'Producción Acero Crudo 2017'!F29)/'Producción Acero Crudo 2017'!F29</f>
        <v>3.0000000000000072E-2</v>
      </c>
      <c r="G30" s="172">
        <f>+(G29-'Producción Acero Crudo 2017'!G29)/'Producción Acero Crudo 2017'!G29</f>
        <v>3.0000000000000044E-2</v>
      </c>
      <c r="H30" s="172">
        <f>+(H29-'Producción Acero Crudo 2017'!H29)/'Producción Acero Crudo 2017'!H29</f>
        <v>3.0000000000000072E-2</v>
      </c>
      <c r="I30" s="172">
        <f>+(I29-'Producción Acero Crudo 2017'!I29)/'Producción Acero Crudo 2017'!I29</f>
        <v>2.9999999999999995E-2</v>
      </c>
      <c r="J30" s="172">
        <f>+(J29-'Producción Acero Crudo 2017'!J29)/'Producción Acero Crudo 2017'!J29</f>
        <v>2.9999999999999954E-2</v>
      </c>
      <c r="K30" s="172">
        <f>+(K29-'Producción Acero Crudo 2017'!K29)/'Producción Acero Crudo 2017'!K29</f>
        <v>3.0000000000000027E-2</v>
      </c>
      <c r="L30" s="172">
        <f>+(L29-'Producción Acero Crudo 2017'!L29)/'Producción Acero Crudo 2017'!L29</f>
        <v>2.9999999999999954E-2</v>
      </c>
      <c r="M30" s="172">
        <f>+(M29-'Producción Acero Crudo 2017'!M29)/'Producción Acero Crudo 2017'!M29</f>
        <v>3.0000000000000027E-2</v>
      </c>
      <c r="N30" s="172">
        <f>+(N29-'Producción Acero Crudo 2017'!N29)/'Producción Acero Crudo 2017'!N29</f>
        <v>2.9999999999999954E-2</v>
      </c>
      <c r="O30" s="35">
        <f>+(O29-'Producción Acero Crudo 2017'!O29)/'Producción Acero Crudo 2017'!O29</f>
        <v>3.0000000000000027E-2</v>
      </c>
      <c r="P30" s="139">
        <f ca="1">(P29-SUM('Producción Acero Crudo 2017'!$D29:OFFSET('Producción Acero Crudo 2017'!$D29,0,Índice!$Y$4)))/SUM('Producción Acero Crudo 2017'!$D29:OFFSET('Producción Acero Crudo 2017'!$D29,0,Índice!$Y$4))</f>
        <v>2.9999999999999808E-2</v>
      </c>
    </row>
    <row r="31" spans="2:16" ht="18" customHeight="1" thickTop="1" thickBot="1">
      <c r="B31" s="260" t="s">
        <v>11</v>
      </c>
      <c r="C31" s="29" t="s">
        <v>13</v>
      </c>
      <c r="D31" s="170">
        <f>+'Producción Acero Crudo 2017'!D31*1.02</f>
        <v>25.5</v>
      </c>
      <c r="E31" s="170">
        <f>+'Producción Acero Crudo 2017'!E31*1.02</f>
        <v>24.48</v>
      </c>
      <c r="F31" s="170">
        <f>+'Producción Acero Crudo 2017'!F31*1.02</f>
        <v>22.643999999999998</v>
      </c>
      <c r="G31" s="170">
        <f>+'Producción Acero Crudo 2017'!G31*1.02</f>
        <v>24.684000000000001</v>
      </c>
      <c r="H31" s="170">
        <f>+'Producción Acero Crudo 2017'!H31*1.02</f>
        <v>23.867999999999999</v>
      </c>
      <c r="I31" s="170">
        <f>+'Producción Acero Crudo 2017'!I31*1.02</f>
        <v>23.46</v>
      </c>
      <c r="J31" s="170">
        <f>+'Producción Acero Crudo 2017'!J31*1.02</f>
        <v>25.5</v>
      </c>
      <c r="K31" s="170">
        <f>+'Producción Acero Crudo 2017'!K31*1.02</f>
        <v>25.5</v>
      </c>
      <c r="L31" s="170">
        <f>+'Producción Acero Crudo 2017'!L31*1.02</f>
        <v>26.52</v>
      </c>
      <c r="M31" s="170">
        <f>+'Producción Acero Crudo 2017'!M31*1.02</f>
        <v>25.5</v>
      </c>
      <c r="N31" s="170">
        <f>+'Producción Acero Crudo 2017'!N31*1.02</f>
        <v>26.52</v>
      </c>
      <c r="O31" s="170">
        <f>+'Producción Acero Crudo 2017'!O31*1.02</f>
        <v>25.5</v>
      </c>
      <c r="P31" s="34">
        <f>SUM(D31:O31)</f>
        <v>299.67599999999999</v>
      </c>
    </row>
    <row r="32" spans="2:16" ht="18" customHeight="1" thickTop="1" thickBot="1">
      <c r="B32" s="260"/>
      <c r="C32" s="29" t="s">
        <v>14</v>
      </c>
      <c r="D32" s="170">
        <f>+'Producción Acero Crudo 2017'!D32*1.048</f>
        <v>0</v>
      </c>
      <c r="E32" s="170">
        <f>+'Producción Acero Crudo 2017'!E32*1.048</f>
        <v>0</v>
      </c>
      <c r="F32" s="170">
        <f>+'Producción Acero Crudo 2017'!F32*1.048</f>
        <v>0</v>
      </c>
      <c r="G32" s="170">
        <f>+'Producción Acero Crudo 2017'!G32*1.048</f>
        <v>0</v>
      </c>
      <c r="H32" s="170">
        <f>+'Producción Acero Crudo 2017'!H32*1.048</f>
        <v>0</v>
      </c>
      <c r="I32" s="170">
        <f>+'Producción Acero Crudo 2017'!I32*1.048</f>
        <v>0</v>
      </c>
      <c r="J32" s="170">
        <f>+'Producción Acero Crudo 2017'!J32*1.048</f>
        <v>0</v>
      </c>
      <c r="K32" s="170">
        <f>+'Producción Acero Crudo 2017'!K32*1.048</f>
        <v>0</v>
      </c>
      <c r="L32" s="170">
        <f>+'Producción Acero Crudo 2017'!L32*1.048</f>
        <v>0</v>
      </c>
      <c r="M32" s="170">
        <f>+'Producción Acero Crudo 2017'!M32*1.048</f>
        <v>0</v>
      </c>
      <c r="N32" s="170">
        <f>+'Producción Acero Crudo 2017'!N32*1.048</f>
        <v>0</v>
      </c>
      <c r="O32" s="170">
        <f>+'Producción Acero Crudo 2017'!O32*1.048</f>
        <v>0</v>
      </c>
      <c r="P32" s="34">
        <f>SUM(D32:O32)</f>
        <v>0</v>
      </c>
    </row>
    <row r="33" spans="2:16" ht="18" customHeight="1" thickTop="1" thickBot="1">
      <c r="B33" s="260"/>
      <c r="C33" s="29" t="s">
        <v>8</v>
      </c>
      <c r="D33" s="170">
        <f>+D31+D32</f>
        <v>25.5</v>
      </c>
      <c r="E33" s="170">
        <f>+E31+E32</f>
        <v>24.48</v>
      </c>
      <c r="F33" s="170">
        <f>+F31+F32</f>
        <v>22.643999999999998</v>
      </c>
      <c r="G33" s="170">
        <f t="shared" ref="G33" si="10">+G31+G32</f>
        <v>24.684000000000001</v>
      </c>
      <c r="H33" s="170">
        <f t="shared" ref="H33:O33" si="11">+H31+H32</f>
        <v>23.867999999999999</v>
      </c>
      <c r="I33" s="170">
        <f t="shared" ref="I33:J33" si="12">+I31+I32</f>
        <v>23.46</v>
      </c>
      <c r="J33" s="170">
        <f t="shared" si="12"/>
        <v>25.5</v>
      </c>
      <c r="K33" s="170">
        <f t="shared" si="11"/>
        <v>25.5</v>
      </c>
      <c r="L33" s="170">
        <f t="shared" si="11"/>
        <v>26.52</v>
      </c>
      <c r="M33" s="170">
        <f t="shared" si="11"/>
        <v>25.5</v>
      </c>
      <c r="N33" s="170">
        <f t="shared" si="11"/>
        <v>26.52</v>
      </c>
      <c r="O33" s="170">
        <f t="shared" si="11"/>
        <v>25.5</v>
      </c>
      <c r="P33" s="34">
        <f>SUM(D33:O33)</f>
        <v>299.67599999999999</v>
      </c>
    </row>
    <row r="34" spans="2:16" ht="18" customHeight="1" thickTop="1" thickBot="1">
      <c r="B34" s="260"/>
      <c r="C34" s="32" t="s">
        <v>179</v>
      </c>
      <c r="D34" s="172">
        <f>+(D33-'Producción Acero Crudo 2017'!D33)/'Producción Acero Crudo 2017'!D33</f>
        <v>0.02</v>
      </c>
      <c r="E34" s="172">
        <f>+(E33-'Producción Acero Crudo 2017'!E33)/'Producción Acero Crudo 2017'!E33</f>
        <v>2.0000000000000018E-2</v>
      </c>
      <c r="F34" s="172">
        <f>+(F33-'Producción Acero Crudo 2017'!F33)/'Producción Acero Crudo 2017'!F33</f>
        <v>1.9999999999999959E-2</v>
      </c>
      <c r="G34" s="172">
        <f>+(G33-'Producción Acero Crudo 2017'!G33)/'Producción Acero Crudo 2017'!G33</f>
        <v>2.0000000000000073E-2</v>
      </c>
      <c r="H34" s="172">
        <f>+(H33-'Producción Acero Crudo 2017'!H33)/'Producción Acero Crudo 2017'!H33</f>
        <v>0.02</v>
      </c>
      <c r="I34" s="172">
        <f>+(I33-'Producción Acero Crudo 2017'!I33)/'Producción Acero Crudo 2017'!I33</f>
        <v>2.0000000000000039E-2</v>
      </c>
      <c r="J34" s="172">
        <f>+(J33-'Producción Acero Crudo 2017'!J33)/'Producción Acero Crudo 2017'!J33</f>
        <v>0.02</v>
      </c>
      <c r="K34" s="172">
        <f>+(K33-'Producción Acero Crudo 2017'!K33)/'Producción Acero Crudo 2017'!K33</f>
        <v>0.02</v>
      </c>
      <c r="L34" s="172">
        <f>+(L33-'Producción Acero Crudo 2017'!L33)/'Producción Acero Crudo 2017'!L33</f>
        <v>1.9999999999999983E-2</v>
      </c>
      <c r="M34" s="172">
        <f>+(M33-'Producción Acero Crudo 2017'!M33)/'Producción Acero Crudo 2017'!M33</f>
        <v>0.02</v>
      </c>
      <c r="N34" s="172">
        <f>+(N33-'Producción Acero Crudo 2017'!N33)/'Producción Acero Crudo 2017'!N33</f>
        <v>1.9999999999999983E-2</v>
      </c>
      <c r="O34" s="172">
        <f>+(O33-'Producción Acero Crudo 2017'!O33)/'Producción Acero Crudo 2017'!O33</f>
        <v>0.02</v>
      </c>
      <c r="P34" s="139">
        <f ca="1">(P33-SUM('Producción Acero Crudo 2017'!$D33:OFFSET('Producción Acero Crudo 2017'!$D33,0,Índice!$Y$4)))/SUM('Producción Acero Crudo 2017'!$D33:OFFSET('Producción Acero Crudo 2017'!$D33,0,Índice!$Y$4))</f>
        <v>1.9999999999999917E-2</v>
      </c>
    </row>
    <row r="35" spans="2:16" ht="18" customHeight="1" thickTop="1" thickBot="1">
      <c r="B35" s="260" t="s">
        <v>20</v>
      </c>
      <c r="C35" s="29" t="s">
        <v>13</v>
      </c>
      <c r="D35" s="171">
        <v>1285.547</v>
      </c>
      <c r="E35" s="171">
        <v>1229.3140000000001</v>
      </c>
      <c r="F35" s="171">
        <v>1364.316</v>
      </c>
      <c r="G35" s="171">
        <v>1276.818</v>
      </c>
      <c r="H35" s="171">
        <v>1361.415</v>
      </c>
      <c r="I35" s="171">
        <v>1310.288</v>
      </c>
      <c r="J35" s="171">
        <v>1332.2239999999999</v>
      </c>
      <c r="K35" s="171">
        <v>1335.085</v>
      </c>
      <c r="L35" s="171">
        <v>1237.663</v>
      </c>
      <c r="M35" s="171">
        <v>1258.7460000000001</v>
      </c>
      <c r="N35" s="171">
        <v>1118.306</v>
      </c>
      <c r="O35" s="171">
        <v>1209.1130000000001</v>
      </c>
      <c r="P35" s="34">
        <f>SUM(D35:O35)</f>
        <v>15318.835000000001</v>
      </c>
    </row>
    <row r="36" spans="2:16" ht="18" customHeight="1" thickTop="1" thickBot="1">
      <c r="B36" s="260"/>
      <c r="C36" s="29" t="s">
        <v>14</v>
      </c>
      <c r="D36" s="171">
        <v>429.911</v>
      </c>
      <c r="E36" s="171">
        <v>412.661</v>
      </c>
      <c r="F36" s="171">
        <v>486.10700000000003</v>
      </c>
      <c r="G36" s="171">
        <v>465.95400000000001</v>
      </c>
      <c r="H36" s="171">
        <v>379.82900000000001</v>
      </c>
      <c r="I36" s="171">
        <v>427.71899999999999</v>
      </c>
      <c r="J36" s="171">
        <v>421.71699999999998</v>
      </c>
      <c r="K36" s="171">
        <v>325.02100000000002</v>
      </c>
      <c r="L36" s="171">
        <v>400.536</v>
      </c>
      <c r="M36" s="171">
        <v>313.2</v>
      </c>
      <c r="N36" s="171">
        <v>419.38799999999998</v>
      </c>
      <c r="O36" s="171">
        <v>403.09199999999998</v>
      </c>
      <c r="P36" s="34">
        <f>SUM(D36:O36)</f>
        <v>4885.1350000000002</v>
      </c>
    </row>
    <row r="37" spans="2:16" ht="18" customHeight="1" thickTop="1" thickBot="1">
      <c r="B37" s="260"/>
      <c r="C37" s="29" t="s">
        <v>8</v>
      </c>
      <c r="D37" s="171">
        <v>1715.4580000000001</v>
      </c>
      <c r="E37" s="171">
        <v>1641.9749999999999</v>
      </c>
      <c r="F37" s="171">
        <v>1850.423</v>
      </c>
      <c r="G37" s="171">
        <v>1742.7719999999999</v>
      </c>
      <c r="H37" s="171">
        <v>1741.2439999999999</v>
      </c>
      <c r="I37" s="171">
        <v>1738.0070000000001</v>
      </c>
      <c r="J37" s="171">
        <v>1753.941</v>
      </c>
      <c r="K37" s="171">
        <v>1660.106</v>
      </c>
      <c r="L37" s="171">
        <v>1638.1990000000001</v>
      </c>
      <c r="M37" s="171">
        <v>1571.9459999999999</v>
      </c>
      <c r="N37" s="171">
        <v>1537.694</v>
      </c>
      <c r="O37" s="171">
        <v>1612.2049999999999</v>
      </c>
      <c r="P37" s="34">
        <f>SUM(D37:O37)</f>
        <v>20203.97</v>
      </c>
    </row>
    <row r="38" spans="2:16" ht="18" customHeight="1" thickTop="1" thickBot="1">
      <c r="B38" s="260"/>
      <c r="C38" s="32" t="s">
        <v>179</v>
      </c>
      <c r="D38" s="35">
        <f>+(D37-'Producción Acero Crudo 2017'!D37)/'Producción Acero Crudo 2017'!D37</f>
        <v>2.2179240583565251E-2</v>
      </c>
      <c r="E38" s="35">
        <f>+(E37-'Producción Acero Crudo 2017'!E37)/'Producción Acero Crudo 2017'!E37</f>
        <v>-6.0467419386863348E-3</v>
      </c>
      <c r="F38" s="35">
        <f>+(F37-'Producción Acero Crudo 2017'!F37)/'Producción Acero Crudo 2017'!F37</f>
        <v>8.7696497418633917E-2</v>
      </c>
      <c r="G38" s="35">
        <f>+(G37-'Producción Acero Crudo 2017'!G37)/'Producción Acero Crudo 2017'!G37</f>
        <v>0.10679104823585654</v>
      </c>
      <c r="H38" s="35">
        <f>+(H37-'Producción Acero Crudo 2017'!H37)/'Producción Acero Crudo 2017'!H37</f>
        <v>1.9702441436925315E-4</v>
      </c>
      <c r="I38" s="35">
        <f>+(I37-'Producción Acero Crudo 2017'!I37)/'Producción Acero Crudo 2017'!I37</f>
        <v>2.3676999990576125E-2</v>
      </c>
      <c r="J38" s="35">
        <f>+(J37-'Producción Acero Crudo 2017'!J37)/'Producción Acero Crudo 2017'!J37</f>
        <v>1.5217781379330268E-2</v>
      </c>
      <c r="K38" s="35">
        <f>+(K37-'Producción Acero Crudo 2017'!K37)/'Producción Acero Crudo 2017'!K37</f>
        <v>1.4686961554987936E-2</v>
      </c>
      <c r="L38" s="35">
        <f>+(L37-'Producción Acero Crudo 2017'!L37)/'Producción Acero Crudo 2017'!L37</f>
        <v>2.8607254128056817E-2</v>
      </c>
      <c r="M38" s="35">
        <f>+(M37-'Producción Acero Crudo 2017'!M37)/'Producción Acero Crudo 2017'!M37</f>
        <v>-5.9561927461735061E-2</v>
      </c>
      <c r="N38" s="35">
        <f>+(N37-'Producción Acero Crudo 2017'!N37)/'Producción Acero Crudo 2017'!N37</f>
        <v>-5.8465728496386572E-2</v>
      </c>
      <c r="O38" s="35">
        <f>+(O37-'Producción Acero Crudo 2017'!O37)/'Producción Acero Crudo 2017'!O37</f>
        <v>-3.7859969400592421E-3</v>
      </c>
      <c r="P38" s="139">
        <f ca="1">(P37-SUM('Producción Acero Crudo 2017'!$D37:OFFSET('Producción Acero Crudo 2017'!$D37,0,Índice!$Y$4)))/SUM('Producción Acero Crudo 2017'!$D37:OFFSET('Producción Acero Crudo 2017'!$D37,0,Índice!$Y$4))</f>
        <v>1.404492450538773E-2</v>
      </c>
    </row>
    <row r="39" spans="2:16" ht="18" customHeight="1" thickTop="1" thickBot="1">
      <c r="B39" s="260" t="s">
        <v>6</v>
      </c>
      <c r="C39" s="29" t="s">
        <v>13</v>
      </c>
      <c r="D39" s="170">
        <f>+'Producción Acero Crudo 2017'!D39*1.04</f>
        <v>0</v>
      </c>
      <c r="E39" s="170">
        <f>+'Producción Acero Crudo 2017'!E39*1.04</f>
        <v>0</v>
      </c>
      <c r="F39" s="170">
        <f>+'Producción Acero Crudo 2017'!F39*1.04</f>
        <v>0</v>
      </c>
      <c r="G39" s="170">
        <f>+'Producción Acero Crudo 2017'!G39*1.04</f>
        <v>0</v>
      </c>
      <c r="H39" s="170">
        <f>+'Producción Acero Crudo 2017'!H39*1.04</f>
        <v>0</v>
      </c>
      <c r="I39" s="170">
        <f>+'Producción Acero Crudo 2017'!I39*1.04</f>
        <v>0</v>
      </c>
      <c r="J39" s="170">
        <f>+'Producción Acero Crudo 2017'!J39*1.04</f>
        <v>0</v>
      </c>
      <c r="K39" s="170">
        <f>+'Producción Acero Crudo 2017'!K39*1.04</f>
        <v>0</v>
      </c>
      <c r="L39" s="170">
        <f>+'Producción Acero Crudo 2017'!L39*1.04</f>
        <v>0</v>
      </c>
      <c r="M39" s="170">
        <f>+'Producción Acero Crudo 2017'!M39*1.04</f>
        <v>0</v>
      </c>
      <c r="N39" s="170">
        <f>+'Producción Acero Crudo 2017'!N39*1.04</f>
        <v>0</v>
      </c>
      <c r="O39" s="170">
        <f>+'Producción Acero Crudo 2017'!O39*1.04</f>
        <v>0</v>
      </c>
      <c r="P39" s="34">
        <f>SUM(D39:O39)</f>
        <v>0</v>
      </c>
    </row>
    <row r="40" spans="2:16" ht="18" customHeight="1" thickTop="1" thickBot="1">
      <c r="B40" s="260"/>
      <c r="C40" s="29" t="s">
        <v>14</v>
      </c>
      <c r="D40" s="170">
        <f>+'Producción Acero Crudo 2017'!D40*1.04</f>
        <v>2.08</v>
      </c>
      <c r="E40" s="170">
        <f>+'Producción Acero Crudo 2017'!E40*1.04</f>
        <v>1.04</v>
      </c>
      <c r="F40" s="170">
        <f>+'Producción Acero Crudo 2017'!F40*1.04</f>
        <v>0.624</v>
      </c>
      <c r="G40" s="170">
        <f>+'Producción Acero Crudo 2017'!G40*1.04</f>
        <v>1.248</v>
      </c>
      <c r="H40" s="170">
        <f>+'Producción Acero Crudo 2017'!H40*1.04</f>
        <v>1.248</v>
      </c>
      <c r="I40" s="170">
        <f>+'Producción Acero Crudo 2017'!I40*1.04</f>
        <v>1.56</v>
      </c>
      <c r="J40" s="170">
        <f>+'Producción Acero Crudo 2017'!J40*1.04</f>
        <v>2.08</v>
      </c>
      <c r="K40" s="170">
        <f>+'Producción Acero Crudo 2017'!K40*1.04</f>
        <v>3.12</v>
      </c>
      <c r="L40" s="170">
        <f>+'Producción Acero Crudo 2017'!L40*1.04</f>
        <v>2.7040000000000002</v>
      </c>
      <c r="M40" s="170">
        <f>+'Producción Acero Crudo 2017'!M40*1.04</f>
        <v>3.12</v>
      </c>
      <c r="N40" s="170">
        <f>+'Producción Acero Crudo 2017'!N40*1.04</f>
        <v>3.4319999999999999</v>
      </c>
      <c r="O40" s="170">
        <f>+'Producción Acero Crudo 2017'!O40*1.04</f>
        <v>3.016</v>
      </c>
      <c r="P40" s="34">
        <f>SUM(D40:O40)</f>
        <v>25.271999999999998</v>
      </c>
    </row>
    <row r="41" spans="2:16" ht="18" customHeight="1" thickTop="1" thickBot="1">
      <c r="B41" s="260"/>
      <c r="C41" s="29" t="s">
        <v>8</v>
      </c>
      <c r="D41" s="170">
        <f>+D39+D40</f>
        <v>2.08</v>
      </c>
      <c r="E41" s="170">
        <f>+E39+E40</f>
        <v>1.04</v>
      </c>
      <c r="F41" s="170">
        <f>+F39+F40</f>
        <v>0.624</v>
      </c>
      <c r="G41" s="170">
        <f t="shared" ref="G41" si="13">+G39+G40</f>
        <v>1.248</v>
      </c>
      <c r="H41" s="170">
        <f t="shared" ref="H41:O41" si="14">+H39+H40</f>
        <v>1.248</v>
      </c>
      <c r="I41" s="170">
        <f t="shared" si="14"/>
        <v>1.56</v>
      </c>
      <c r="J41" s="170">
        <f t="shared" ref="J41" si="15">+J39+J40</f>
        <v>2.08</v>
      </c>
      <c r="K41" s="170">
        <f t="shared" si="14"/>
        <v>3.12</v>
      </c>
      <c r="L41" s="170">
        <f t="shared" si="14"/>
        <v>2.7040000000000002</v>
      </c>
      <c r="M41" s="170">
        <f t="shared" ref="M41" si="16">+M39+M40</f>
        <v>3.12</v>
      </c>
      <c r="N41" s="170">
        <f t="shared" si="14"/>
        <v>3.4319999999999999</v>
      </c>
      <c r="O41" s="170">
        <f t="shared" si="14"/>
        <v>3.016</v>
      </c>
      <c r="P41" s="34">
        <f>SUM(D41:O41)</f>
        <v>25.271999999999998</v>
      </c>
    </row>
    <row r="42" spans="2:16" ht="18" customHeight="1" thickTop="1" thickBot="1">
      <c r="B42" s="260"/>
      <c r="C42" s="32" t="s">
        <v>179</v>
      </c>
      <c r="D42" s="172">
        <f>+(D41-'Producción Acero Crudo 2017'!D41)/'Producción Acero Crudo 2017'!D41</f>
        <v>4.0000000000000036E-2</v>
      </c>
      <c r="E42" s="172">
        <f>+(E41-'Producción Acero Crudo 2017'!E41)/'Producción Acero Crudo 2017'!E41</f>
        <v>4.0000000000000036E-2</v>
      </c>
      <c r="F42" s="172">
        <f>+(F41-'Producción Acero Crudo 2017'!F41)/'Producción Acero Crudo 2017'!F41</f>
        <v>4.0000000000000036E-2</v>
      </c>
      <c r="G42" s="172">
        <f>+(G41-'Producción Acero Crudo 2017'!G41)/'Producción Acero Crudo 2017'!G41</f>
        <v>4.0000000000000036E-2</v>
      </c>
      <c r="H42" s="172">
        <f>+(H41-'Producción Acero Crudo 2017'!H41)/'Producción Acero Crudo 2017'!H41</f>
        <v>4.0000000000000036E-2</v>
      </c>
      <c r="I42" s="172">
        <f>+(I41-'Producción Acero Crudo 2017'!I41)/'Producción Acero Crudo 2017'!I41</f>
        <v>4.0000000000000036E-2</v>
      </c>
      <c r="J42" s="172">
        <f>+(J41-'Producción Acero Crudo 2017'!J41)/'Producción Acero Crudo 2017'!J41</f>
        <v>4.0000000000000036E-2</v>
      </c>
      <c r="K42" s="172">
        <f>+(K41-'Producción Acero Crudo 2017'!K41)/'Producción Acero Crudo 2017'!K41</f>
        <v>4.0000000000000036E-2</v>
      </c>
      <c r="L42" s="172">
        <f>+(L41-'Producción Acero Crudo 2017'!L41)/'Producción Acero Crudo 2017'!L41</f>
        <v>4.0000000000000036E-2</v>
      </c>
      <c r="M42" s="172">
        <f>+(M41-'Producción Acero Crudo 2017'!M41)/'Producción Acero Crudo 2017'!M41</f>
        <v>4.0000000000000036E-2</v>
      </c>
      <c r="N42" s="172">
        <f>+(N41-'Producción Acero Crudo 2017'!N41)/'Producción Acero Crudo 2017'!N41</f>
        <v>4.0000000000000036E-2</v>
      </c>
      <c r="O42" s="172">
        <f>+(O41-'Producción Acero Crudo 2017'!O41)/'Producción Acero Crudo 2017'!O41</f>
        <v>4.0000000000000036E-2</v>
      </c>
      <c r="P42" s="139">
        <f ca="1">(P41-SUM('Producción Acero Crudo 2017'!$D41:OFFSET('Producción Acero Crudo 2017'!$D41,0,Índice!$Y$4)))/SUM('Producción Acero Crudo 2017'!$D41:OFFSET('Producción Acero Crudo 2017'!$D41,0,Índice!$Y$4))</f>
        <v>3.9999999999999904E-2</v>
      </c>
    </row>
    <row r="43" spans="2:16" ht="18" customHeight="1" thickTop="1" thickBot="1">
      <c r="B43" s="261" t="s">
        <v>21</v>
      </c>
      <c r="C43" s="29" t="s">
        <v>13</v>
      </c>
      <c r="D43" s="171">
        <v>99.6363920000002</v>
      </c>
      <c r="E43" s="171">
        <v>92.031950040000055</v>
      </c>
      <c r="F43" s="171">
        <v>105.31486027999993</v>
      </c>
      <c r="G43" s="171">
        <v>100.90414252000014</v>
      </c>
      <c r="H43" s="171">
        <v>105.11535972000013</v>
      </c>
      <c r="I43" s="171">
        <v>102.53727703999995</v>
      </c>
      <c r="J43" s="170">
        <v>103</v>
      </c>
      <c r="K43" s="170">
        <v>101</v>
      </c>
      <c r="L43" s="170">
        <v>100</v>
      </c>
      <c r="M43" s="170">
        <v>104</v>
      </c>
      <c r="N43" s="170">
        <v>102</v>
      </c>
      <c r="O43" s="170">
        <v>101</v>
      </c>
      <c r="P43" s="34">
        <f>SUM(D43:O43)</f>
        <v>1216.5399816000004</v>
      </c>
    </row>
    <row r="44" spans="2:16" ht="18" customHeight="1" thickTop="1" thickBot="1">
      <c r="B44" s="261"/>
      <c r="C44" s="29" t="s">
        <v>14</v>
      </c>
      <c r="D44" s="170">
        <f>+'Producción Acero Crudo 2017'!D44*1.128</f>
        <v>0</v>
      </c>
      <c r="E44" s="170">
        <f>+'Producción Acero Crudo 2017'!E44*1.128</f>
        <v>0</v>
      </c>
      <c r="F44" s="170">
        <f>+'Producción Acero Crudo 2017'!F44*1.128</f>
        <v>0</v>
      </c>
      <c r="G44" s="170">
        <f>+'Producción Acero Crudo 2017'!G44*1.128</f>
        <v>0</v>
      </c>
      <c r="H44" s="170">
        <f>+'Producción Acero Crudo 2017'!H44*1.128</f>
        <v>0</v>
      </c>
      <c r="I44" s="170">
        <f>+'Producción Acero Crudo 2017'!I44*1.128</f>
        <v>0</v>
      </c>
      <c r="J44" s="34">
        <f>+'Producción Acero Crudo 2017'!J44*1.128</f>
        <v>0</v>
      </c>
      <c r="K44" s="170">
        <f>+'Producción Acero Crudo 2017'!K44*1.128</f>
        <v>0</v>
      </c>
      <c r="L44" s="170">
        <f>+'Producción Acero Crudo 2017'!L44*1.128</f>
        <v>0</v>
      </c>
      <c r="M44" s="170">
        <f>+'Producción Acero Crudo 2017'!M44*1.128</f>
        <v>0</v>
      </c>
      <c r="N44" s="170">
        <f>+'Producción Acero Crudo 2017'!N44*1.128</f>
        <v>0</v>
      </c>
      <c r="O44" s="170">
        <f>+'Producción Acero Crudo 2017'!O44*1.128</f>
        <v>0</v>
      </c>
      <c r="P44" s="34">
        <f>SUM(D44:O44)</f>
        <v>0</v>
      </c>
    </row>
    <row r="45" spans="2:16" ht="18" customHeight="1" thickTop="1" thickBot="1">
      <c r="B45" s="261"/>
      <c r="C45" s="29" t="s">
        <v>8</v>
      </c>
      <c r="D45" s="171">
        <f>+D43+D44</f>
        <v>99.6363920000002</v>
      </c>
      <c r="E45" s="171">
        <f>+E43+E44</f>
        <v>92.031950040000055</v>
      </c>
      <c r="F45" s="171">
        <f>+F43+F44</f>
        <v>105.31486027999993</v>
      </c>
      <c r="G45" s="171">
        <f t="shared" ref="G45:O45" si="17">+G43+G44</f>
        <v>100.90414252000014</v>
      </c>
      <c r="H45" s="171">
        <f t="shared" si="17"/>
        <v>105.11535972000013</v>
      </c>
      <c r="I45" s="171">
        <f t="shared" si="17"/>
        <v>102.53727703999995</v>
      </c>
      <c r="J45" s="170">
        <f t="shared" si="17"/>
        <v>103</v>
      </c>
      <c r="K45" s="170">
        <f t="shared" si="17"/>
        <v>101</v>
      </c>
      <c r="L45" s="170">
        <f t="shared" si="17"/>
        <v>100</v>
      </c>
      <c r="M45" s="170">
        <f t="shared" ref="M45" si="18">+M43+M44</f>
        <v>104</v>
      </c>
      <c r="N45" s="170">
        <f t="shared" si="17"/>
        <v>102</v>
      </c>
      <c r="O45" s="170">
        <f t="shared" si="17"/>
        <v>101</v>
      </c>
      <c r="P45" s="34">
        <f>SUM(D45:O45)</f>
        <v>1216.5399816000004</v>
      </c>
    </row>
    <row r="46" spans="2:16" ht="18" customHeight="1" thickTop="1" thickBot="1">
      <c r="B46" s="261"/>
      <c r="C46" s="32" t="s">
        <v>179</v>
      </c>
      <c r="D46" s="35">
        <f>+(D45-'Producción Acero Crudo 2017'!D45)/'Producción Acero Crudo 2017'!D45</f>
        <v>1.0227524880823803E-2</v>
      </c>
      <c r="E46" s="35">
        <f>+(E45-'Producción Acero Crudo 2017'!E45)/'Producción Acero Crudo 2017'!E45</f>
        <v>-1.4362288455977099E-2</v>
      </c>
      <c r="F46" s="35">
        <f>+(F45-'Producción Acero Crudo 2017'!F45)/'Producción Acero Crudo 2017'!F45</f>
        <v>1.133612434241244E-2</v>
      </c>
      <c r="G46" s="35">
        <f>+(G45-'Producción Acero Crudo 2017'!G45)/'Producción Acero Crudo 2017'!G45</f>
        <v>-3.4982665595530517E-2</v>
      </c>
      <c r="H46" s="35">
        <f>+(H45-'Producción Acero Crudo 2017'!H45)/'Producción Acero Crudo 2017'!H45</f>
        <v>2.7269579477157347E-2</v>
      </c>
      <c r="I46" s="35">
        <f>+(I45-'Producción Acero Crudo 2017'!I45)/'Producción Acero Crudo 2017'!I45</f>
        <v>5.8352630815924018E-2</v>
      </c>
      <c r="J46" s="172">
        <f>+(J45-'Producción Acero Crudo 2017'!J45)/'Producción Acero Crudo 2017'!J45</f>
        <v>1.0428177965597795E-2</v>
      </c>
      <c r="K46" s="172">
        <f>+(K45-'Producción Acero Crudo 2017'!K45)/'Producción Acero Crudo 2017'!K45</f>
        <v>0.16859171383756721</v>
      </c>
      <c r="L46" s="172">
        <f>+(L45-'Producción Acero Crudo 2017'!L45)/'Producción Acero Crudo 2017'!L45</f>
        <v>1.7599505560611441E-2</v>
      </c>
      <c r="M46" s="172">
        <f>+(M45-'Producción Acero Crudo 2017'!M45)/'Producción Acero Crudo 2017'!M45</f>
        <v>-2.421395250010509E-2</v>
      </c>
      <c r="N46" s="172">
        <f>+(N45-'Producción Acero Crudo 2017'!N45)/'Producción Acero Crudo 2017'!N45</f>
        <v>6.0534730637725135E-3</v>
      </c>
      <c r="O46" s="172">
        <f>+(O45-'Producción Acero Crudo 2017'!O45)/'Producción Acero Crudo 2017'!O45</f>
        <v>-0.10207986396847768</v>
      </c>
      <c r="P46" s="139">
        <f ca="1">(P45-SUM('Producción Acero Crudo 2017'!$D45:OFFSET('Producción Acero Crudo 2017'!$D45,0,Índice!$Y$4)))/SUM('Producción Acero Crudo 2017'!$D45:OFFSET('Producción Acero Crudo 2017'!$D45,0,Índice!$Y$4))</f>
        <v>7.911094362270563E-3</v>
      </c>
    </row>
    <row r="47" spans="2:16" ht="18" hidden="1" customHeight="1" thickTop="1" thickBot="1">
      <c r="B47" s="261" t="s">
        <v>171</v>
      </c>
      <c r="C47" s="29" t="s">
        <v>13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>
        <f>SUM(D47:O47)</f>
        <v>0</v>
      </c>
    </row>
    <row r="48" spans="2:16" ht="18" hidden="1" customHeight="1" thickTop="1" thickBot="1">
      <c r="B48" s="261"/>
      <c r="C48" s="29" t="s">
        <v>14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>
        <f>SUM(D48:O48)</f>
        <v>0</v>
      </c>
    </row>
    <row r="49" spans="2:22" ht="18" hidden="1" customHeight="1" thickTop="1" thickBot="1">
      <c r="B49" s="261"/>
      <c r="C49" s="29" t="s">
        <v>8</v>
      </c>
      <c r="D49" s="34">
        <f t="shared" ref="D49:O49" si="19">+D47+D48</f>
        <v>0</v>
      </c>
      <c r="E49" s="34">
        <f t="shared" si="19"/>
        <v>0</v>
      </c>
      <c r="F49" s="34">
        <f t="shared" si="19"/>
        <v>0</v>
      </c>
      <c r="G49" s="34">
        <f t="shared" si="19"/>
        <v>0</v>
      </c>
      <c r="H49" s="34">
        <f t="shared" si="19"/>
        <v>0</v>
      </c>
      <c r="I49" s="34">
        <f t="shared" si="19"/>
        <v>0</v>
      </c>
      <c r="J49" s="34">
        <f t="shared" si="19"/>
        <v>0</v>
      </c>
      <c r="K49" s="34">
        <f t="shared" si="19"/>
        <v>0</v>
      </c>
      <c r="L49" s="34">
        <f t="shared" si="19"/>
        <v>0</v>
      </c>
      <c r="M49" s="34">
        <f t="shared" si="19"/>
        <v>0</v>
      </c>
      <c r="N49" s="34">
        <f t="shared" si="19"/>
        <v>0</v>
      </c>
      <c r="O49" s="34">
        <f t="shared" si="19"/>
        <v>0</v>
      </c>
      <c r="P49" s="34">
        <f>SUM(D49:O49)</f>
        <v>0</v>
      </c>
    </row>
    <row r="50" spans="2:22" ht="18" hidden="1" customHeight="1" thickTop="1" thickBot="1">
      <c r="B50" s="261"/>
      <c r="C50" s="32" t="s">
        <v>179</v>
      </c>
      <c r="D50" s="35" t="e">
        <f>+(D49-'Producción Acero Crudo 2017'!D49)/'Producción Acero Crudo 2017'!D49</f>
        <v>#DIV/0!</v>
      </c>
      <c r="E50" s="35" t="e">
        <f>+(E49-'Producción Acero Crudo 2017'!E49)/'Producción Acero Crudo 2017'!E49</f>
        <v>#DIV/0!</v>
      </c>
      <c r="F50" s="35" t="e">
        <f>+(F49-'Producción Acero Crudo 2017'!F49)/'Producción Acero Crudo 2017'!F49</f>
        <v>#DIV/0!</v>
      </c>
      <c r="G50" s="35" t="e">
        <f>+(G49-'Producción Acero Crudo 2017'!G49)/'Producción Acero Crudo 2017'!G49</f>
        <v>#DIV/0!</v>
      </c>
      <c r="H50" s="35" t="e">
        <f>+(H49-'Producción Acero Crudo 2017'!H49)/'Producción Acero Crudo 2017'!H49</f>
        <v>#DIV/0!</v>
      </c>
      <c r="I50" s="35" t="e">
        <f>+(I49-'Producción Acero Crudo 2017'!I49)/'Producción Acero Crudo 2017'!I49</f>
        <v>#DIV/0!</v>
      </c>
      <c r="J50" s="35" t="e">
        <f>+(J49-'Producción Acero Crudo 2017'!J49)/'Producción Acero Crudo 2017'!J49</f>
        <v>#DIV/0!</v>
      </c>
      <c r="K50" s="35" t="e">
        <f>+(K49-'Producción Acero Crudo 2017'!K49)/'Producción Acero Crudo 2017'!K49</f>
        <v>#DIV/0!</v>
      </c>
      <c r="L50" s="35" t="e">
        <f>+(L49-'Producción Acero Crudo 2017'!L49)/'Producción Acero Crudo 2017'!L49</f>
        <v>#DIV/0!</v>
      </c>
      <c r="M50" s="35" t="e">
        <f>+(M49-'Producción Acero Crudo 2017'!M49)/'Producción Acero Crudo 2017'!M49</f>
        <v>#DIV/0!</v>
      </c>
      <c r="N50" s="35" t="e">
        <f>+(N49-'Producción Acero Crudo 2017'!N49)/'Producción Acero Crudo 2017'!N49</f>
        <v>#DIV/0!</v>
      </c>
      <c r="O50" s="35" t="e">
        <f>+(O49-'Producción Acero Crudo 2017'!O49)/'Producción Acero Crudo 2017'!O49</f>
        <v>#DIV/0!</v>
      </c>
      <c r="P50" s="35" t="e">
        <f>+(P49-'Producción Acero Crudo 2017'!S49)/'Producción Acero Crudo 2017'!S49</f>
        <v>#DIV/0!</v>
      </c>
    </row>
    <row r="51" spans="2:22" ht="18" customHeight="1" thickTop="1" thickBot="1">
      <c r="B51" s="261" t="s">
        <v>7</v>
      </c>
      <c r="C51" s="29" t="s">
        <v>13</v>
      </c>
      <c r="D51" s="170">
        <f>+'Producción Acero Crudo 2017'!D51*1.038</f>
        <v>6.2279999999999998</v>
      </c>
      <c r="E51" s="170">
        <f>+'Producción Acero Crudo 2017'!E51*1.038</f>
        <v>3.1139999999999999</v>
      </c>
      <c r="F51" s="170">
        <f>+'Producción Acero Crudo 2017'!F51*1.038</f>
        <v>4.1520000000000001</v>
      </c>
      <c r="G51" s="170">
        <f>+'Producción Acero Crudo 2017'!G51*1.038</f>
        <v>5.19</v>
      </c>
      <c r="H51" s="170">
        <f>+'Producción Acero Crudo 2017'!H51*1.038</f>
        <v>4.1520000000000001</v>
      </c>
      <c r="I51" s="170">
        <f>+'Producción Acero Crudo 2017'!I51*1.038</f>
        <v>4.5672000000000006</v>
      </c>
      <c r="J51" s="170">
        <f>+'Producción Acero Crudo 2017'!J51*1.038</f>
        <v>5.19</v>
      </c>
      <c r="K51" s="170">
        <f>+'Producción Acero Crudo 2017'!K51*1.038</f>
        <v>5.19</v>
      </c>
      <c r="L51" s="170">
        <f>+'Producción Acero Crudo 2017'!L51*1.038</f>
        <v>5.19</v>
      </c>
      <c r="M51" s="170">
        <f>+'Producción Acero Crudo 2017'!M51*1.038</f>
        <v>5.19</v>
      </c>
      <c r="N51" s="170">
        <f>+'Producción Acero Crudo 2017'!N51*1.038</f>
        <v>6.6432000000000002</v>
      </c>
      <c r="O51" s="170">
        <f>+'Producción Acero Crudo 2017'!O51*1.038</f>
        <v>5.19</v>
      </c>
      <c r="P51" s="34">
        <f>SUM(D51:O51)</f>
        <v>59.996399999999994</v>
      </c>
      <c r="S51" s="242"/>
    </row>
    <row r="52" spans="2:22" ht="18" customHeight="1" thickTop="1" thickBot="1">
      <c r="B52" s="261"/>
      <c r="C52" s="29" t="s">
        <v>14</v>
      </c>
      <c r="D52" s="170">
        <f>+'Producción Acero Crudo 2017'!D52*1.038</f>
        <v>0</v>
      </c>
      <c r="E52" s="170">
        <f>+'Producción Acero Crudo 2017'!E52*1.038</f>
        <v>0</v>
      </c>
      <c r="F52" s="170">
        <f>+'Producción Acero Crudo 2017'!F52*1.038</f>
        <v>0</v>
      </c>
      <c r="G52" s="170">
        <f>+'Producción Acero Crudo 2017'!G52*1.038</f>
        <v>0</v>
      </c>
      <c r="H52" s="170">
        <f>+'Producción Acero Crudo 2017'!H52*1.038</f>
        <v>0</v>
      </c>
      <c r="I52" s="170">
        <f>+'Producción Acero Crudo 2017'!I52*1.038</f>
        <v>0</v>
      </c>
      <c r="J52" s="170">
        <f>+'Producción Acero Crudo 2017'!J52*1.038</f>
        <v>0</v>
      </c>
      <c r="K52" s="170">
        <f>+'Producción Acero Crudo 2017'!K52*1.038</f>
        <v>0</v>
      </c>
      <c r="L52" s="34">
        <f>+'Producción Acero Crudo 2017'!L52*1.038</f>
        <v>0</v>
      </c>
      <c r="M52" s="171">
        <f>+'Producción Acero Crudo 2017'!M52*1.038</f>
        <v>0</v>
      </c>
      <c r="N52" s="170">
        <f>+'Producción Acero Crudo 2017'!N52*1.038</f>
        <v>0</v>
      </c>
      <c r="O52" s="170">
        <f>+'Producción Acero Crudo 2017'!O52*1.038</f>
        <v>0</v>
      </c>
      <c r="P52" s="34">
        <f>SUM(D52:O52)</f>
        <v>0</v>
      </c>
    </row>
    <row r="53" spans="2:22" ht="18" customHeight="1" thickTop="1" thickBot="1">
      <c r="B53" s="261"/>
      <c r="C53" s="29" t="s">
        <v>8</v>
      </c>
      <c r="D53" s="170">
        <f t="shared" ref="D53:O53" si="20">+D51+D52</f>
        <v>6.2279999999999998</v>
      </c>
      <c r="E53" s="170">
        <f t="shared" si="20"/>
        <v>3.1139999999999999</v>
      </c>
      <c r="F53" s="170">
        <f t="shared" si="20"/>
        <v>4.1520000000000001</v>
      </c>
      <c r="G53" s="170">
        <f t="shared" si="20"/>
        <v>5.19</v>
      </c>
      <c r="H53" s="170">
        <f t="shared" si="20"/>
        <v>4.1520000000000001</v>
      </c>
      <c r="I53" s="170">
        <f t="shared" si="20"/>
        <v>4.5672000000000006</v>
      </c>
      <c r="J53" s="170">
        <f t="shared" ref="J53" si="21">+J51+J52</f>
        <v>5.19</v>
      </c>
      <c r="K53" s="170">
        <f t="shared" si="20"/>
        <v>5.19</v>
      </c>
      <c r="L53" s="170">
        <f t="shared" si="20"/>
        <v>5.19</v>
      </c>
      <c r="M53" s="170">
        <f t="shared" ref="M53" si="22">+M51+M52</f>
        <v>5.19</v>
      </c>
      <c r="N53" s="170">
        <f t="shared" si="20"/>
        <v>6.6432000000000002</v>
      </c>
      <c r="O53" s="170">
        <f t="shared" si="20"/>
        <v>5.19</v>
      </c>
      <c r="P53" s="34">
        <f>SUM(D53:O53)</f>
        <v>59.996399999999994</v>
      </c>
    </row>
    <row r="54" spans="2:22" ht="18" customHeight="1" thickTop="1" thickBot="1">
      <c r="B54" s="261"/>
      <c r="C54" s="32" t="s">
        <v>179</v>
      </c>
      <c r="D54" s="172">
        <f>+(D53-'Producción Acero Crudo 2017'!D53)/'Producción Acero Crudo 2017'!D53</f>
        <v>3.7999999999999957E-2</v>
      </c>
      <c r="E54" s="172">
        <f>+(E53-'Producción Acero Crudo 2017'!E53)/'Producción Acero Crudo 2017'!E53</f>
        <v>3.7999999999999957E-2</v>
      </c>
      <c r="F54" s="172">
        <f>+(F53-'Producción Acero Crudo 2017'!F53)/'Producción Acero Crudo 2017'!F53</f>
        <v>3.8000000000000034E-2</v>
      </c>
      <c r="G54" s="172">
        <f>+(G53-'Producción Acero Crudo 2017'!G53)/'Producción Acero Crudo 2017'!G53</f>
        <v>3.8000000000000075E-2</v>
      </c>
      <c r="H54" s="172">
        <f>+(H53-'Producción Acero Crudo 2017'!H53)/'Producción Acero Crudo 2017'!H53</f>
        <v>3.8000000000000034E-2</v>
      </c>
      <c r="I54" s="172">
        <f>+(I53-'Producción Acero Crudo 2017'!I53)/'Producción Acero Crudo 2017'!I53</f>
        <v>3.8000000000000048E-2</v>
      </c>
      <c r="J54" s="172">
        <f>+(J53-'Producción Acero Crudo 2017'!J53)/'Producción Acero Crudo 2017'!J53</f>
        <v>3.8000000000000075E-2</v>
      </c>
      <c r="K54" s="172">
        <f>+(K53-'Producción Acero Crudo 2017'!K53)/'Producción Acero Crudo 2017'!K53</f>
        <v>3.8000000000000075E-2</v>
      </c>
      <c r="L54" s="172">
        <f>+(L53-'Producción Acero Crudo 2017'!L53)/'Producción Acero Crudo 2017'!L53</f>
        <v>3.8000000000000075E-2</v>
      </c>
      <c r="M54" s="172">
        <f>+(M53-'Producción Acero Crudo 2017'!M53)/'Producción Acero Crudo 2017'!M53</f>
        <v>3.8000000000000075E-2</v>
      </c>
      <c r="N54" s="172">
        <f>+(N53-'Producción Acero Crudo 2017'!N53)/'Producción Acero Crudo 2017'!N53</f>
        <v>3.7999999999999978E-2</v>
      </c>
      <c r="O54" s="172">
        <f>+(O53-'Producción Acero Crudo 2017'!O53)/'Producción Acero Crudo 2017'!O53</f>
        <v>3.8000000000000075E-2</v>
      </c>
      <c r="P54" s="139">
        <f ca="1">(P53-SUM('Producción Acero Crudo 2017'!$D53:OFFSET('Producción Acero Crudo 2017'!$D53,0,Índice!$Y$4)))/SUM('Producción Acero Crudo 2017'!$D53:OFFSET('Producción Acero Crudo 2017'!$D53,0,Índice!$Y$4))</f>
        <v>3.799999999999995E-2</v>
      </c>
    </row>
    <row r="55" spans="2:22" ht="18" customHeight="1" thickTop="1" thickBot="1">
      <c r="B55" s="261" t="s">
        <v>3</v>
      </c>
      <c r="C55" s="29" t="s">
        <v>13</v>
      </c>
      <c r="D55" s="170">
        <v>11</v>
      </c>
      <c r="E55" s="170">
        <v>16</v>
      </c>
      <c r="F55" s="170">
        <v>23</v>
      </c>
      <c r="G55" s="170">
        <v>18</v>
      </c>
      <c r="H55" s="170">
        <v>13</v>
      </c>
      <c r="I55" s="170">
        <v>12</v>
      </c>
      <c r="J55" s="170">
        <v>9</v>
      </c>
      <c r="K55" s="170">
        <v>9</v>
      </c>
      <c r="L55" s="170">
        <v>5</v>
      </c>
      <c r="M55" s="170">
        <v>5</v>
      </c>
      <c r="N55" s="170">
        <v>4</v>
      </c>
      <c r="O55" s="170">
        <v>4</v>
      </c>
      <c r="P55" s="34">
        <f>SUM(D55:O55)</f>
        <v>129</v>
      </c>
    </row>
    <row r="56" spans="2:22" ht="18" customHeight="1" thickTop="1" thickBot="1">
      <c r="B56" s="261"/>
      <c r="C56" s="29" t="s">
        <v>14</v>
      </c>
      <c r="D56" s="170">
        <f>+'Producción Acero Crudo 2017'!D56*1</f>
        <v>0</v>
      </c>
      <c r="E56" s="170">
        <f>+'Producción Acero Crudo 2017'!E56*1</f>
        <v>0</v>
      </c>
      <c r="F56" s="170">
        <f>+'Producción Acero Crudo 2017'!F56*1</f>
        <v>0</v>
      </c>
      <c r="G56" s="170">
        <f>+'Producción Acero Crudo 2017'!G56*1</f>
        <v>0</v>
      </c>
      <c r="H56" s="170">
        <f>+'Producción Acero Crudo 2017'!H56*1</f>
        <v>0</v>
      </c>
      <c r="I56" s="170">
        <f>+'Producción Acero Crudo 2017'!I56*1</f>
        <v>0</v>
      </c>
      <c r="J56" s="170">
        <f>+'Producción Acero Crudo 2017'!J56*1</f>
        <v>0</v>
      </c>
      <c r="K56" s="34">
        <f>+'Producción Acero Crudo 2017'!K56*1</f>
        <v>0</v>
      </c>
      <c r="L56" s="170">
        <f>+'Producción Acero Crudo 2017'!L56*1</f>
        <v>0</v>
      </c>
      <c r="M56" s="170">
        <f>+'Producción Acero Crudo 2017'!M56*1</f>
        <v>0</v>
      </c>
      <c r="N56" s="170">
        <f>+'Producción Acero Crudo 2017'!N56*1</f>
        <v>0</v>
      </c>
      <c r="O56" s="170">
        <f>+'Producción Acero Crudo 2017'!O56*1</f>
        <v>0</v>
      </c>
      <c r="P56" s="34">
        <f>SUM(D56:O56)</f>
        <v>0</v>
      </c>
    </row>
    <row r="57" spans="2:22" ht="18" customHeight="1" thickTop="1" thickBot="1">
      <c r="B57" s="261"/>
      <c r="C57" s="29" t="s">
        <v>8</v>
      </c>
      <c r="D57" s="170">
        <f t="shared" ref="D57:O57" si="23">+D55+D56</f>
        <v>11</v>
      </c>
      <c r="E57" s="170">
        <f t="shared" si="23"/>
        <v>16</v>
      </c>
      <c r="F57" s="170">
        <f t="shared" si="23"/>
        <v>23</v>
      </c>
      <c r="G57" s="170">
        <f t="shared" si="23"/>
        <v>18</v>
      </c>
      <c r="H57" s="170">
        <f t="shared" si="23"/>
        <v>13</v>
      </c>
      <c r="I57" s="170">
        <f t="shared" si="23"/>
        <v>12</v>
      </c>
      <c r="J57" s="170">
        <f t="shared" si="23"/>
        <v>9</v>
      </c>
      <c r="K57" s="170">
        <f t="shared" si="23"/>
        <v>9</v>
      </c>
      <c r="L57" s="170">
        <f t="shared" si="23"/>
        <v>5</v>
      </c>
      <c r="M57" s="170">
        <f t="shared" ref="M57" si="24">+M55+M56</f>
        <v>5</v>
      </c>
      <c r="N57" s="170">
        <f t="shared" si="23"/>
        <v>4</v>
      </c>
      <c r="O57" s="170">
        <f t="shared" si="23"/>
        <v>4</v>
      </c>
      <c r="P57" s="34">
        <f>SUM(D57:O57)</f>
        <v>129</v>
      </c>
    </row>
    <row r="58" spans="2:22" ht="18" customHeight="1" thickTop="1" thickBot="1">
      <c r="B58" s="261"/>
      <c r="C58" s="32" t="s">
        <v>179</v>
      </c>
      <c r="D58" s="172">
        <f>+(D57-'Producción Acero Crudo 2017'!D57)/'Producción Acero Crudo 2017'!D57</f>
        <v>-0.59595959595959602</v>
      </c>
      <c r="E58" s="172">
        <f>+(E57-'Producción Acero Crudo 2017'!E57)/'Producción Acero Crudo 2017'!E57</f>
        <v>-0.56179883877240033</v>
      </c>
      <c r="F58" s="172">
        <f>+(F57-'Producción Acero Crudo 2017'!F57)/'Producción Acero Crudo 2017'!F57</f>
        <v>-0.52774570954410516</v>
      </c>
      <c r="G58" s="172">
        <f>+(G57-'Producción Acero Crudo 2017'!G57)/'Producción Acero Crudo 2017'!G57</f>
        <v>-0.70248917391160626</v>
      </c>
      <c r="H58" s="172">
        <f>+(H57-'Producción Acero Crudo 2017'!H57)/'Producción Acero Crudo 2017'!H57</f>
        <v>-0.75275234191079832</v>
      </c>
      <c r="I58" s="172">
        <f>+(I57-'Producción Acero Crudo 2017'!I57)/'Producción Acero Crudo 2017'!I57</f>
        <v>-0.60503970651027206</v>
      </c>
      <c r="J58" s="172">
        <f>+(J57-'Producción Acero Crudo 2017'!J57)/'Producción Acero Crudo 2017'!J57</f>
        <v>-5.5118110236220506E-2</v>
      </c>
      <c r="K58" s="172">
        <f>+(K57-'Producción Acero Crudo 2017'!K57)/'Producción Acero Crudo 2017'!K57</f>
        <v>-0.52551665963728389</v>
      </c>
      <c r="L58" s="172">
        <f>+(L57-'Producción Acero Crudo 2017'!L57)/'Producción Acero Crudo 2017'!L57</f>
        <v>-0.92802130569351471</v>
      </c>
      <c r="M58" s="172">
        <f>+(M57-'Producción Acero Crudo 2017'!M57)/'Producción Acero Crudo 2017'!M57</f>
        <v>-0.78147808225164983</v>
      </c>
      <c r="N58" s="172">
        <f>+(N57-'Producción Acero Crudo 2017'!N57)/'Producción Acero Crudo 2017'!N57</f>
        <v>-0.88163229071109406</v>
      </c>
      <c r="O58" s="172">
        <f>+(O57-'Producción Acero Crudo 2017'!O57)/'Producción Acero Crudo 2017'!O57</f>
        <v>-0.87973714629116273</v>
      </c>
      <c r="P58" s="139">
        <f ca="1">(P57-SUM('Producción Acero Crudo 2017'!$D57:OFFSET('Producción Acero Crudo 2017'!$D57,0,Índice!$Y$4)))/SUM('Producción Acero Crudo 2017'!$D57:OFFSET('Producción Acero Crudo 2017'!$D57,0,Índice!$Y$4))</f>
        <v>-0.70932631585470041</v>
      </c>
    </row>
    <row r="59" spans="2:22" ht="18" customHeight="1" thickTop="1" thickBot="1">
      <c r="B59" s="261" t="s">
        <v>39</v>
      </c>
      <c r="C59" s="29" t="s">
        <v>13</v>
      </c>
      <c r="D59" s="34">
        <f t="shared" ref="D59:O59" si="25">+D3+D7+D11+D15+D19+D23+D27+D31+D35+D39+D43+D51+D55</f>
        <v>2279.0161750000007</v>
      </c>
      <c r="E59" s="34">
        <f t="shared" si="25"/>
        <v>2348.3082400400003</v>
      </c>
      <c r="F59" s="34">
        <f t="shared" si="25"/>
        <v>2559.7328602799994</v>
      </c>
      <c r="G59" s="34">
        <f t="shared" si="25"/>
        <v>2457.5181425200003</v>
      </c>
      <c r="H59" s="34">
        <f t="shared" si="25"/>
        <v>2418.8863597200002</v>
      </c>
      <c r="I59" s="34">
        <f t="shared" si="25"/>
        <v>2445.4424770400001</v>
      </c>
      <c r="J59" s="34">
        <f t="shared" si="25"/>
        <v>2495.3110000000001</v>
      </c>
      <c r="K59" s="34">
        <f t="shared" si="25"/>
        <v>2471.6060000000002</v>
      </c>
      <c r="L59" s="34">
        <f t="shared" si="25"/>
        <v>2365.9886468</v>
      </c>
      <c r="M59" s="34">
        <f t="shared" si="25"/>
        <v>2429.4479999999999</v>
      </c>
      <c r="N59" s="34">
        <f t="shared" si="25"/>
        <v>2267.1732000000002</v>
      </c>
      <c r="O59" s="34">
        <f t="shared" si="25"/>
        <v>1940.0839260000002</v>
      </c>
      <c r="P59" s="34">
        <f>SUM(D59:O59)</f>
        <v>28478.515027400001</v>
      </c>
      <c r="T59" s="66">
        <f>N61</f>
        <v>5275.3356000000003</v>
      </c>
      <c r="U59" s="66">
        <f>O61</f>
        <v>5023.2709259999992</v>
      </c>
    </row>
    <row r="60" spans="2:22" ht="18" customHeight="1" thickTop="1" thickBot="1">
      <c r="B60" s="261"/>
      <c r="C60" s="29" t="s">
        <v>14</v>
      </c>
      <c r="D60" s="34">
        <f t="shared" ref="D60:O60" si="26">+D4+D8+D12+D16+D20+D24+D28+D32+D36+D40+D44+D52+D56</f>
        <v>2958.3298</v>
      </c>
      <c r="E60" s="34">
        <f t="shared" si="26"/>
        <v>2736.5860000000002</v>
      </c>
      <c r="F60" s="34">
        <f t="shared" si="26"/>
        <v>3163.4902000000002</v>
      </c>
      <c r="G60" s="34">
        <f t="shared" si="26"/>
        <v>2998.8433000000005</v>
      </c>
      <c r="H60" s="34">
        <f t="shared" si="26"/>
        <v>2741.1054000000004</v>
      </c>
      <c r="I60" s="34">
        <f t="shared" si="26"/>
        <v>2917.6205</v>
      </c>
      <c r="J60" s="34">
        <f t="shared" si="26"/>
        <v>3063.6136999999999</v>
      </c>
      <c r="K60" s="34">
        <f t="shared" si="26"/>
        <v>2819.3300000000004</v>
      </c>
      <c r="L60" s="34">
        <f t="shared" si="26"/>
        <v>3058.6286000000005</v>
      </c>
      <c r="M60" s="34">
        <f t="shared" si="26"/>
        <v>3066.0677999999998</v>
      </c>
      <c r="N60" s="34">
        <f t="shared" si="26"/>
        <v>2900.1623999999997</v>
      </c>
      <c r="O60" s="34">
        <f t="shared" si="26"/>
        <v>2982.1870000000004</v>
      </c>
      <c r="P60" s="34">
        <f>SUM(D60:O60)</f>
        <v>35405.964700000004</v>
      </c>
      <c r="T60" s="36">
        <v>1</v>
      </c>
      <c r="U60" s="36">
        <f>U59/T59</f>
        <v>0.95221826759230233</v>
      </c>
      <c r="V60" s="249">
        <f>T60-U60</f>
        <v>4.7781732407697675E-2</v>
      </c>
    </row>
    <row r="61" spans="2:22" ht="18" customHeight="1" thickTop="1" thickBot="1">
      <c r="B61" s="261"/>
      <c r="C61" s="29" t="s">
        <v>8</v>
      </c>
      <c r="D61" s="34">
        <f t="shared" ref="D61:O61" si="27">+D5+D9+D13+D17+D21+D25+D29+D33+D37+D41+D45+D53+D57</f>
        <v>5325.2992470000008</v>
      </c>
      <c r="E61" s="34">
        <f t="shared" si="27"/>
        <v>5187.1077978132089</v>
      </c>
      <c r="F61" s="34">
        <f t="shared" si="27"/>
        <v>5808.5711672799998</v>
      </c>
      <c r="G61" s="34">
        <f t="shared" si="27"/>
        <v>5547.9762962200002</v>
      </c>
      <c r="H61" s="34">
        <f t="shared" si="27"/>
        <v>5259.6595426287331</v>
      </c>
      <c r="I61" s="34">
        <f t="shared" si="27"/>
        <v>5468.3278346739562</v>
      </c>
      <c r="J61" s="34">
        <f t="shared" si="27"/>
        <v>5674.2147429999995</v>
      </c>
      <c r="K61" s="34">
        <f t="shared" si="27"/>
        <v>5405.8249999999998</v>
      </c>
      <c r="L61" s="34">
        <f t="shared" si="27"/>
        <v>5524.8232467999997</v>
      </c>
      <c r="M61" s="171">
        <f t="shared" si="27"/>
        <v>5603.0777999999991</v>
      </c>
      <c r="N61" s="171">
        <f t="shared" si="27"/>
        <v>5275.3356000000003</v>
      </c>
      <c r="O61" s="171">
        <f t="shared" si="27"/>
        <v>5023.2709259999992</v>
      </c>
      <c r="P61" s="34">
        <f>SUM(D61:O61)</f>
        <v>65103.48920141589</v>
      </c>
    </row>
    <row r="62" spans="2:22" ht="18" customHeight="1" thickTop="1" thickBot="1">
      <c r="B62" s="261"/>
      <c r="C62" s="32" t="s">
        <v>179</v>
      </c>
      <c r="D62" s="35">
        <f>+(D61-'Producción Acero Crudo 2017'!D61)/'Producción Acero Crudo 2017'!D61</f>
        <v>1.9899804675092767E-2</v>
      </c>
      <c r="E62" s="35">
        <f>+(E61-'Producción Acero Crudo 2017'!E61)/'Producción Acero Crudo 2017'!E61</f>
        <v>4.5889566788117571E-2</v>
      </c>
      <c r="F62" s="35">
        <f>+(F61-'Producción Acero Crudo 2017'!F61)/'Producción Acero Crudo 2017'!F61</f>
        <v>7.2352724513007172E-2</v>
      </c>
      <c r="G62" s="35">
        <f>+(G61-'Producción Acero Crudo 2017'!G61)/'Producción Acero Crudo 2017'!G61</f>
        <v>4.7311241869396323E-2</v>
      </c>
      <c r="H62" s="35">
        <f>+(H61-'Producción Acero Crudo 2017'!H61)/'Producción Acero Crudo 2017'!H61</f>
        <v>-4.7676457479098364E-2</v>
      </c>
      <c r="I62" s="35">
        <f>+(I61-'Producción Acero Crudo 2017'!I61)/'Producción Acero Crudo 2017'!I61</f>
        <v>6.2484133928121945E-2</v>
      </c>
      <c r="J62" s="35">
        <f>+(J61-'Producción Acero Crudo 2017'!J61)/'Producción Acero Crudo 2017'!J61</f>
        <v>5.2839184861891562E-2</v>
      </c>
      <c r="K62" s="35">
        <f>+(K61-'Producción Acero Crudo 2017'!K61)/'Producción Acero Crudo 2017'!K61</f>
        <v>-4.1511863029073236E-3</v>
      </c>
      <c r="L62" s="35">
        <f>+(L61-'Producción Acero Crudo 2017'!L61)/'Producción Acero Crudo 2017'!L61</f>
        <v>1.8821815296962911E-2</v>
      </c>
      <c r="M62" s="35">
        <f>+(M61-'Producción Acero Crudo 2017'!M61)/'Producción Acero Crudo 2017'!M61</f>
        <v>2.4596676580570368E-3</v>
      </c>
      <c r="N62" s="35">
        <f>+(N61-'Producción Acero Crudo 2017'!N61)/'Producción Acero Crudo 2017'!N61</f>
        <v>-5.1081716240308703E-2</v>
      </c>
      <c r="O62" s="35">
        <f>+(O61-'Producción Acero Crudo 2017'!O61)/'Producción Acero Crudo 2017'!O61</f>
        <v>-4.7699461222211886E-2</v>
      </c>
      <c r="P62" s="35">
        <f ca="1">(P61-SUM('Producción Acero Crudo 2017'!$D61:OFFSET('Producción Acero Crudo 2017'!$D61,0,Índice!$Y$4)))/SUM('Producción Acero Crudo 2017'!$D61:OFFSET('Producción Acero Crudo 2017'!$D61,0,Índice!$Y$4))</f>
        <v>1.3619580073996938E-2</v>
      </c>
    </row>
    <row r="63" spans="2:22" ht="18" customHeight="1" thickTop="1">
      <c r="B63" s="59"/>
      <c r="E63" s="192">
        <f>+E61+D61</f>
        <v>10512.40704481321</v>
      </c>
      <c r="F63" s="192">
        <f>+E63+F61</f>
        <v>16320.97821209321</v>
      </c>
    </row>
    <row r="64" spans="2:22" ht="18" customHeight="1">
      <c r="B64" s="60" t="s">
        <v>19</v>
      </c>
      <c r="C64" s="60" t="s">
        <v>19</v>
      </c>
      <c r="D64" s="66"/>
      <c r="E64" s="191"/>
      <c r="F64" s="184">
        <f>+(F63-'Producción Acero Crudo 2017'!F63)/'Producción Acero Crudo 2017'!F63</f>
        <v>4.6379332252598236E-2</v>
      </c>
      <c r="H64" s="193"/>
      <c r="J64" s="45"/>
      <c r="P64" s="66"/>
    </row>
    <row r="65" spans="2:22" ht="18" customHeight="1">
      <c r="B65" s="26" t="s">
        <v>12</v>
      </c>
      <c r="C65" s="26" t="s">
        <v>12</v>
      </c>
      <c r="G65" s="66"/>
      <c r="H65" s="45"/>
    </row>
    <row r="66" spans="2:22" ht="18" customHeight="1">
      <c r="D66" s="191"/>
      <c r="E66" s="191"/>
      <c r="F66" s="191"/>
      <c r="G66" s="184"/>
      <c r="H66" s="191"/>
      <c r="I66" s="191"/>
      <c r="J66" s="191"/>
      <c r="K66" s="191"/>
      <c r="L66" s="191"/>
      <c r="M66" s="191"/>
      <c r="N66" s="191"/>
      <c r="O66" s="191"/>
      <c r="P66" s="191"/>
    </row>
    <row r="67" spans="2:22">
      <c r="B67" s="36" t="s">
        <v>160</v>
      </c>
      <c r="D67" s="191"/>
      <c r="E67" s="192"/>
      <c r="F67" s="191"/>
      <c r="G67" s="191"/>
      <c r="H67" s="191"/>
      <c r="I67" s="192"/>
      <c r="J67" s="192"/>
      <c r="K67" s="192">
        <f>+K61-J61</f>
        <v>-268.38974299999973</v>
      </c>
      <c r="L67" s="191"/>
      <c r="M67" s="191"/>
      <c r="N67" s="191"/>
      <c r="O67" s="191"/>
      <c r="P67" s="191"/>
    </row>
    <row r="68" spans="2:22">
      <c r="D68" s="191"/>
      <c r="E68" s="184"/>
      <c r="F68" s="184"/>
      <c r="G68" s="184"/>
      <c r="H68" s="184"/>
      <c r="I68" s="184"/>
      <c r="J68" s="184"/>
      <c r="K68" s="184">
        <f>+K67/J61</f>
        <v>-4.7299891730586859E-2</v>
      </c>
      <c r="L68" s="184"/>
      <c r="M68" s="184"/>
      <c r="N68" s="184"/>
      <c r="O68" s="184"/>
      <c r="P68" s="191"/>
    </row>
    <row r="69" spans="2:22">
      <c r="D69" s="191"/>
      <c r="E69" s="192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</row>
    <row r="70" spans="2:22">
      <c r="D70" s="184"/>
      <c r="E70" s="192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</row>
    <row r="71" spans="2:22">
      <c r="D71" s="191"/>
      <c r="E71" s="192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</row>
    <row r="72" spans="2:22">
      <c r="D72" s="191"/>
      <c r="E72" s="192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</row>
    <row r="73" spans="2:22">
      <c r="D73" s="191"/>
      <c r="E73" s="192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</row>
    <row r="74" spans="2:22">
      <c r="D74" s="191"/>
      <c r="E74" s="192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</row>
    <row r="75" spans="2:22">
      <c r="D75" s="191"/>
      <c r="E75" s="192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</row>
    <row r="76" spans="2:22">
      <c r="D76" s="191"/>
      <c r="E76" s="192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</row>
    <row r="77" spans="2:22">
      <c r="D77" s="191"/>
      <c r="E77" s="192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</row>
    <row r="78" spans="2:22">
      <c r="D78" s="191"/>
      <c r="E78" s="192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R78" s="242" t="e">
        <f>P78/P81</f>
        <v>#DIV/0!</v>
      </c>
      <c r="T78" s="242">
        <f>N81</f>
        <v>0</v>
      </c>
      <c r="U78" s="242">
        <f>O81</f>
        <v>0</v>
      </c>
      <c r="V78" s="242"/>
    </row>
    <row r="79" spans="2:22">
      <c r="D79" s="191"/>
      <c r="E79" s="192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R79" s="242" t="e">
        <f>P79/P81</f>
        <v>#DIV/0!</v>
      </c>
      <c r="T79" s="247">
        <f>1</f>
        <v>1</v>
      </c>
      <c r="U79" s="242" t="e">
        <f>U78/T78</f>
        <v>#DIV/0!</v>
      </c>
      <c r="V79" s="247" t="e">
        <f>T79-U79</f>
        <v>#DIV/0!</v>
      </c>
    </row>
    <row r="80" spans="2:22"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R80" s="242" t="e">
        <f>P80/P81</f>
        <v>#DIV/0!</v>
      </c>
    </row>
    <row r="81" spans="3:16">
      <c r="D81" s="191"/>
      <c r="E81" s="192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</row>
    <row r="82" spans="3:16"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</row>
    <row r="83" spans="3:16"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</row>
    <row r="84" spans="3:16"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</row>
    <row r="85" spans="3:16"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</row>
    <row r="86" spans="3:16"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</row>
    <row r="87" spans="3:16"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</row>
    <row r="88" spans="3:16"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</row>
    <row r="89" spans="3:16"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</row>
    <row r="90" spans="3:16"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</row>
    <row r="91" spans="3:16">
      <c r="C91" s="191"/>
      <c r="D91" s="191"/>
      <c r="E91" s="192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</row>
    <row r="92" spans="3:16"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</row>
    <row r="93" spans="3:16"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</row>
    <row r="94" spans="3:16"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</row>
    <row r="95" spans="3:16"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</row>
    <row r="96" spans="3:16"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</row>
    <row r="97" spans="3:17"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</row>
    <row r="98" spans="3:17"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</row>
    <row r="99" spans="3:17"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</row>
    <row r="100" spans="3:17"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</row>
    <row r="101" spans="3:17" s="181" customFormat="1">
      <c r="C101" s="36"/>
      <c r="D101" s="191" t="str">
        <f t="shared" ref="D101:O101" si="28">+D2</f>
        <v>Enero
January</v>
      </c>
      <c r="E101" s="191" t="str">
        <f t="shared" si="28"/>
        <v>Febrero
February</v>
      </c>
      <c r="F101" s="191" t="str">
        <f t="shared" si="28"/>
        <v>Marzo
March</v>
      </c>
      <c r="G101" s="191" t="str">
        <f t="shared" si="28"/>
        <v>Abril 
April</v>
      </c>
      <c r="H101" s="191" t="str">
        <f t="shared" si="28"/>
        <v>Mayo
May</v>
      </c>
      <c r="I101" s="191" t="str">
        <f t="shared" si="28"/>
        <v>Junio
June</v>
      </c>
      <c r="J101" s="191" t="str">
        <f t="shared" si="28"/>
        <v>Julio
July</v>
      </c>
      <c r="K101" s="191" t="str">
        <f t="shared" si="28"/>
        <v>Agosto
August</v>
      </c>
      <c r="L101" s="191" t="str">
        <f t="shared" si="28"/>
        <v>Septiembre
September</v>
      </c>
      <c r="M101" s="191" t="str">
        <f t="shared" si="28"/>
        <v>Octubre
October</v>
      </c>
      <c r="N101" s="191" t="str">
        <f t="shared" si="28"/>
        <v>Noviembre
November</v>
      </c>
      <c r="O101" s="191" t="str">
        <f t="shared" si="28"/>
        <v>Diciembre
December</v>
      </c>
      <c r="P101" s="191"/>
      <c r="Q101" s="36"/>
    </row>
    <row r="102" spans="3:17" s="181" customFormat="1">
      <c r="C102" s="36"/>
      <c r="D102" s="192">
        <f>+D61</f>
        <v>5325.2992470000008</v>
      </c>
      <c r="E102" s="192">
        <f>+D102+E61</f>
        <v>10512.40704481321</v>
      </c>
      <c r="F102" s="192">
        <f>+E102+F61</f>
        <v>16320.97821209321</v>
      </c>
      <c r="G102" s="192">
        <f t="shared" ref="G102:H102" si="29">+F102+G61</f>
        <v>21868.954508313211</v>
      </c>
      <c r="H102" s="192">
        <f t="shared" si="29"/>
        <v>27128.614050941942</v>
      </c>
      <c r="I102" s="192">
        <f>+H102+I61</f>
        <v>32596.941885615899</v>
      </c>
      <c r="J102" s="192">
        <f>+I102+J61</f>
        <v>38271.1566286159</v>
      </c>
      <c r="K102" s="192">
        <f>+J102+K61</f>
        <v>43676.981628615897</v>
      </c>
      <c r="L102" s="191"/>
      <c r="M102" s="191"/>
      <c r="N102" s="191"/>
      <c r="O102" s="191"/>
      <c r="P102" s="191"/>
      <c r="Q102" s="36"/>
    </row>
    <row r="103" spans="3:17" s="182" customFormat="1">
      <c r="C103" s="221"/>
      <c r="D103" s="217">
        <f>+'Producción Acero Crudo 2017'!D61</f>
        <v>5221.3945160000003</v>
      </c>
      <c r="E103" s="217">
        <f>+D103+'Producción Acero Crudo 2017'!E61</f>
        <v>10180.912195999999</v>
      </c>
      <c r="F103" s="217">
        <f>+E103+'Producción Acero Crudo 2017'!F61</f>
        <v>15597.573183099999</v>
      </c>
      <c r="G103" s="217">
        <f>+F103+'Producción Acero Crudo 2017'!G61</f>
        <v>20894.925177829999</v>
      </c>
      <c r="H103" s="217">
        <f>+G103+'Producción Acero Crudo 2017'!H61</f>
        <v>26417.900624499998</v>
      </c>
      <c r="I103" s="217">
        <f>+H103+'Producción Acero Crudo 2017'!I61</f>
        <v>31564.638971035998</v>
      </c>
      <c r="J103" s="217">
        <f>+I103+'Producción Acero Crudo 2017'!J61</f>
        <v>36954.080041035995</v>
      </c>
      <c r="K103" s="217">
        <f>+J103+'Producción Acero Crudo 2017'!K61</f>
        <v>42382.439171103993</v>
      </c>
      <c r="L103" s="217"/>
      <c r="M103" s="217"/>
      <c r="N103" s="217"/>
      <c r="O103" s="217"/>
      <c r="P103" s="217"/>
    </row>
    <row r="104" spans="3:17" s="183" customFormat="1">
      <c r="C104" s="45"/>
      <c r="D104" s="184">
        <f>+(D102-D103)/D103</f>
        <v>1.9899804675092767E-2</v>
      </c>
      <c r="E104" s="184">
        <f t="shared" ref="E104:F104" si="30">+(E102-E103)/E103</f>
        <v>3.2560427045373416E-2</v>
      </c>
      <c r="F104" s="184">
        <f t="shared" si="30"/>
        <v>4.6379332252598236E-2</v>
      </c>
      <c r="G104" s="184">
        <f t="shared" ref="G104:I104" si="31">+(G102-G103)/G103</f>
        <v>4.6615593125773902E-2</v>
      </c>
      <c r="H104" s="184">
        <f t="shared" si="31"/>
        <v>2.690272162591251E-2</v>
      </c>
      <c r="I104" s="184">
        <f t="shared" si="31"/>
        <v>3.2704410638979636E-2</v>
      </c>
      <c r="J104" s="184">
        <f t="shared" ref="J104:K104" si="32">+(J102-J103)/J103</f>
        <v>3.5640897733547811E-2</v>
      </c>
      <c r="K104" s="184">
        <f t="shared" si="32"/>
        <v>3.0544312286644226E-2</v>
      </c>
      <c r="L104" s="184"/>
      <c r="M104" s="184"/>
      <c r="N104" s="184"/>
      <c r="O104" s="184"/>
      <c r="P104" s="184"/>
    </row>
    <row r="105" spans="3:17"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</row>
    <row r="106" spans="3:17"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</row>
    <row r="107" spans="3:17"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</row>
    <row r="108" spans="3:17">
      <c r="J108" s="191"/>
      <c r="K108" s="191"/>
      <c r="L108" s="191"/>
      <c r="M108" s="191"/>
      <c r="N108" s="191"/>
      <c r="O108" s="191"/>
      <c r="P108" s="191"/>
    </row>
    <row r="109" spans="3:17">
      <c r="J109" s="191"/>
      <c r="K109" s="191"/>
      <c r="L109" s="191"/>
      <c r="M109" s="191"/>
      <c r="N109" s="191"/>
      <c r="O109" s="191"/>
      <c r="P109" s="191"/>
    </row>
    <row r="110" spans="3:17">
      <c r="J110" s="191"/>
      <c r="K110" s="191"/>
      <c r="L110" s="191"/>
      <c r="M110" s="191"/>
      <c r="N110" s="191"/>
      <c r="O110" s="191"/>
      <c r="P110" s="191"/>
    </row>
  </sheetData>
  <mergeCells count="15">
    <mergeCell ref="B51:B54"/>
    <mergeCell ref="B55:B58"/>
    <mergeCell ref="B59:B62"/>
    <mergeCell ref="B27:B30"/>
    <mergeCell ref="B31:B34"/>
    <mergeCell ref="B35:B38"/>
    <mergeCell ref="B39:B42"/>
    <mergeCell ref="B43:B46"/>
    <mergeCell ref="B47:B50"/>
    <mergeCell ref="B23:B26"/>
    <mergeCell ref="B3:B6"/>
    <mergeCell ref="B7:B10"/>
    <mergeCell ref="B11:B14"/>
    <mergeCell ref="B15:B18"/>
    <mergeCell ref="B19:B22"/>
  </mergeCells>
  <hyperlinks>
    <hyperlink ref="P1" location="Índice!A1" display="Índice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1"/>
  <sheetViews>
    <sheetView topLeftCell="G46" zoomScale="90" zoomScaleNormal="90" zoomScaleSheetLayoutView="90" workbookViewId="0">
      <selection activeCell="T59" sqref="T59:T61"/>
    </sheetView>
  </sheetViews>
  <sheetFormatPr defaultColWidth="11.42578125" defaultRowHeight="12.75"/>
  <cols>
    <col min="1" max="1" width="2.7109375" style="36" customWidth="1"/>
    <col min="2" max="2" width="25.42578125" style="36" customWidth="1"/>
    <col min="3" max="3" width="34.140625" style="36" bestFit="1" customWidth="1"/>
    <col min="4" max="16" width="13.7109375" style="36" customWidth="1"/>
    <col min="17" max="17" width="2.7109375" style="36" customWidth="1"/>
    <col min="18" max="16384" width="11.42578125" style="36"/>
  </cols>
  <sheetData>
    <row r="1" spans="1:22" s="38" customFormat="1" ht="38.25" customHeight="1" thickBot="1">
      <c r="A1" s="38" t="s">
        <v>41</v>
      </c>
      <c r="B1" s="22" t="s">
        <v>157</v>
      </c>
      <c r="J1" s="107"/>
      <c r="P1" s="87" t="s">
        <v>111</v>
      </c>
    </row>
    <row r="2" spans="1:22" ht="30" customHeight="1" thickTop="1">
      <c r="B2" s="33" t="s">
        <v>36</v>
      </c>
      <c r="C2" s="21" t="s">
        <v>23</v>
      </c>
      <c r="D2" s="140" t="s">
        <v>27</v>
      </c>
      <c r="E2" s="140" t="s">
        <v>28</v>
      </c>
      <c r="F2" s="142" t="s">
        <v>26</v>
      </c>
      <c r="G2" s="142" t="s">
        <v>22</v>
      </c>
      <c r="H2" s="142" t="s">
        <v>29</v>
      </c>
      <c r="I2" s="142" t="s">
        <v>30</v>
      </c>
      <c r="J2" s="142" t="s">
        <v>31</v>
      </c>
      <c r="K2" s="142" t="s">
        <v>32</v>
      </c>
      <c r="L2" s="142" t="s">
        <v>33</v>
      </c>
      <c r="M2" s="142" t="s">
        <v>24</v>
      </c>
      <c r="N2" s="142" t="s">
        <v>34</v>
      </c>
      <c r="O2" s="142" t="s">
        <v>35</v>
      </c>
      <c r="P2" s="140" t="s">
        <v>25</v>
      </c>
      <c r="R2" s="36" t="s">
        <v>192</v>
      </c>
      <c r="T2" s="36" t="s">
        <v>181</v>
      </c>
    </row>
    <row r="3" spans="1:22" ht="18" customHeight="1" thickBot="1">
      <c r="B3" s="259" t="s">
        <v>0</v>
      </c>
      <c r="C3" s="29" t="s">
        <v>13</v>
      </c>
      <c r="D3" s="34">
        <v>105.343</v>
      </c>
      <c r="E3" s="34">
        <v>126.86199999999999</v>
      </c>
      <c r="F3" s="34">
        <v>199.05</v>
      </c>
      <c r="G3" s="34">
        <v>181.35900000000001</v>
      </c>
      <c r="H3" s="34">
        <v>202.94800000000001</v>
      </c>
      <c r="I3" s="34">
        <v>182.964</v>
      </c>
      <c r="J3" s="147">
        <v>208.65700000000001</v>
      </c>
      <c r="K3" s="34">
        <v>212.49100000000001</v>
      </c>
      <c r="L3" s="34">
        <v>231.11199999999999</v>
      </c>
      <c r="M3" s="34">
        <v>242.19900000000001</v>
      </c>
      <c r="N3" s="34">
        <v>247.22499999999999</v>
      </c>
      <c r="O3" s="34">
        <v>188.16399999999999</v>
      </c>
      <c r="P3" s="34">
        <f>SUM(D3:O3)</f>
        <v>2328.3739999999998</v>
      </c>
      <c r="U3" s="66">
        <f>+AVERAGE(D3:E3)</f>
        <v>116.10249999999999</v>
      </c>
    </row>
    <row r="4" spans="1:22" ht="18" customHeight="1" thickTop="1" thickBot="1">
      <c r="B4" s="260"/>
      <c r="C4" s="29" t="s">
        <v>14</v>
      </c>
      <c r="D4" s="34">
        <v>185.96100000000001</v>
      </c>
      <c r="E4" s="34">
        <v>178.268</v>
      </c>
      <c r="F4" s="34">
        <v>193.20500000000001</v>
      </c>
      <c r="G4" s="34">
        <v>186.07</v>
      </c>
      <c r="H4" s="34">
        <v>191.12700000000001</v>
      </c>
      <c r="I4" s="34">
        <v>189.21700000000001</v>
      </c>
      <c r="J4" s="147">
        <v>190.19</v>
      </c>
      <c r="K4" s="34">
        <v>204.92500000000001</v>
      </c>
      <c r="L4" s="34">
        <v>191.626</v>
      </c>
      <c r="M4" s="34">
        <v>204.94</v>
      </c>
      <c r="N4" s="34">
        <v>187.73599999999999</v>
      </c>
      <c r="O4" s="34">
        <v>192.67500000000001</v>
      </c>
      <c r="P4" s="34">
        <f>SUM(D4:O4)</f>
        <v>2295.9400000000005</v>
      </c>
      <c r="U4" s="66">
        <f>+AVERAGE(D4:E4)</f>
        <v>182.11450000000002</v>
      </c>
    </row>
    <row r="5" spans="1:22" ht="18" customHeight="1" thickTop="1" thickBot="1">
      <c r="B5" s="260"/>
      <c r="C5" s="29" t="s">
        <v>8</v>
      </c>
      <c r="D5" s="52">
        <f>+D3+D4</f>
        <v>291.30400000000003</v>
      </c>
      <c r="E5" s="52">
        <f>+E3+E4</f>
        <v>305.13</v>
      </c>
      <c r="F5" s="52">
        <f>+F3+F4</f>
        <v>392.255</v>
      </c>
      <c r="G5" s="52">
        <f t="shared" ref="G5:O5" si="0">+G3+G4</f>
        <v>367.42899999999997</v>
      </c>
      <c r="H5" s="52">
        <f>+H3+H4</f>
        <v>394.07500000000005</v>
      </c>
      <c r="I5" s="52">
        <f t="shared" si="0"/>
        <v>372.18100000000004</v>
      </c>
      <c r="J5" s="147">
        <f t="shared" si="0"/>
        <v>398.84699999999998</v>
      </c>
      <c r="K5" s="34">
        <f t="shared" si="0"/>
        <v>417.41600000000005</v>
      </c>
      <c r="L5" s="34">
        <f t="shared" si="0"/>
        <v>422.738</v>
      </c>
      <c r="M5" s="34">
        <f t="shared" si="0"/>
        <v>447.13900000000001</v>
      </c>
      <c r="N5" s="34">
        <f t="shared" si="0"/>
        <v>434.96100000000001</v>
      </c>
      <c r="O5" s="34">
        <f t="shared" si="0"/>
        <v>380.839</v>
      </c>
      <c r="P5" s="34">
        <f>SUM(D5:O5)</f>
        <v>4624.3139999999994</v>
      </c>
      <c r="R5" s="66">
        <f>+D5+E5+F5+G5+H5+I5+J5+K5+L5+M5+N5+O5</f>
        <v>4624.3139999999994</v>
      </c>
      <c r="T5" s="66">
        <f>+D5</f>
        <v>291.30400000000003</v>
      </c>
    </row>
    <row r="6" spans="1:22" ht="18" customHeight="1" thickTop="1" thickBot="1">
      <c r="B6" s="260"/>
      <c r="C6" s="32" t="s">
        <v>156</v>
      </c>
      <c r="D6" s="35">
        <f>+(D5-'Producción Acero Crudo 2016'!D5)/'Producción Acero Crudo 2016'!D5</f>
        <v>-0.11578960148853695</v>
      </c>
      <c r="E6" s="35">
        <f>+(E5-'Producción Acero Crudo 2016'!E5)/'Producción Acero Crudo 2016'!E5</f>
        <v>-9.9303069034834796E-2</v>
      </c>
      <c r="F6" s="35">
        <f>+(F5-'Producción Acero Crudo 2016'!F5)/'Producción Acero Crudo 2016'!F5</f>
        <v>0.23465941461050108</v>
      </c>
      <c r="G6" s="35">
        <f>+(G5-'Producción Acero Crudo 2016'!G5)/'Producción Acero Crudo 2016'!G5</f>
        <v>0.15158039897826453</v>
      </c>
      <c r="H6" s="35">
        <f>+(H5-'Producción Acero Crudo 2016'!H5)/'Producción Acero Crudo 2016'!H5</f>
        <v>3.9380815732281242E-2</v>
      </c>
      <c r="I6" s="35">
        <f>+(I5-'Producción Acero Crudo 2016'!I5)/'Producción Acero Crudo 2016'!I5</f>
        <v>-5.3708433029593834E-4</v>
      </c>
      <c r="J6" s="148">
        <f>+(J5-'Producción Acero Crudo 2016'!J5)/'Producción Acero Crudo 2016'!J5</f>
        <v>0.12017424127529781</v>
      </c>
      <c r="K6" s="35">
        <f>+(K5-'Producción Acero Crudo 2016'!K5)/'Producción Acero Crudo 2016'!K5</f>
        <v>0.21636049981350255</v>
      </c>
      <c r="L6" s="35">
        <f>+(L5-'Producción Acero Crudo 2016'!L5)/'Producción Acero Crudo 2016'!L5</f>
        <v>0.31241889315939475</v>
      </c>
      <c r="M6" s="35">
        <f>+(M5-'Producción Acero Crudo 2016'!M5)/'Producción Acero Crudo 2016'!M5</f>
        <v>0.18718189035123819</v>
      </c>
      <c r="N6" s="35">
        <f>+(N5-'Producción Acero Crudo 2016'!N5)/'Producción Acero Crudo 2016'!N5</f>
        <v>0.21044751613379015</v>
      </c>
      <c r="O6" s="35">
        <f>+(O5-'Producción Acero Crudo 2016'!O5)/'Producción Acero Crudo 2016'!O5</f>
        <v>0.21810790409661973</v>
      </c>
      <c r="P6" s="35">
        <f>+(P5-'Producción Acero Crudo 2016'!P5)/'Producción Acero Crudo 2015'!P5</f>
        <v>9.9013092995430305E-2</v>
      </c>
      <c r="R6" s="45">
        <f>+(R5-'Producción Acero Crudo 2016'!T5)/'Producción Acero Crudo 2016'!T5</f>
        <v>0.12064564580938721</v>
      </c>
      <c r="V6" s="163">
        <f ca="1">+(P5-SUM(OFFSET('Producción Acero Crudo 2016'!$D5,0,Índice!Y4)))/SUM(OFFSET('Producción Acero Crudo 2016'!$D5,0,Índice!Y4))</f>
        <v>13.790799877178165</v>
      </c>
    </row>
    <row r="7" spans="1:22" ht="18" customHeight="1" thickTop="1" thickBot="1">
      <c r="B7" s="260" t="s">
        <v>37</v>
      </c>
      <c r="C7" s="29" t="s">
        <v>13</v>
      </c>
      <c r="D7" s="34">
        <v>641</v>
      </c>
      <c r="E7" s="34">
        <v>611</v>
      </c>
      <c r="F7" s="34">
        <v>580</v>
      </c>
      <c r="G7" s="34">
        <v>623</v>
      </c>
      <c r="H7" s="34">
        <v>578</v>
      </c>
      <c r="I7" s="34">
        <v>549</v>
      </c>
      <c r="J7" s="147">
        <v>604</v>
      </c>
      <c r="K7" s="34">
        <v>625</v>
      </c>
      <c r="L7" s="34">
        <v>611</v>
      </c>
      <c r="M7" s="34">
        <v>663</v>
      </c>
      <c r="N7" s="34">
        <v>653</v>
      </c>
      <c r="O7" s="34">
        <v>474</v>
      </c>
      <c r="P7" s="34">
        <f>SUM(D7:O7)</f>
        <v>7212</v>
      </c>
    </row>
    <row r="8" spans="1:22" ht="18" customHeight="1" thickTop="1" thickBot="1">
      <c r="B8" s="260"/>
      <c r="C8" s="29" t="s">
        <v>14</v>
      </c>
      <c r="D8" s="34">
        <v>2187</v>
      </c>
      <c r="E8" s="34">
        <v>1961</v>
      </c>
      <c r="F8" s="34">
        <v>2268</v>
      </c>
      <c r="G8" s="34">
        <v>2272</v>
      </c>
      <c r="H8" s="34">
        <v>2353</v>
      </c>
      <c r="I8" s="34">
        <v>2100</v>
      </c>
      <c r="J8" s="147">
        <v>2227</v>
      </c>
      <c r="K8" s="34">
        <v>2330</v>
      </c>
      <c r="L8" s="34">
        <v>2348</v>
      </c>
      <c r="M8" s="34">
        <v>2382</v>
      </c>
      <c r="N8" s="34">
        <v>2377</v>
      </c>
      <c r="O8" s="34">
        <v>2348</v>
      </c>
      <c r="P8" s="34">
        <f>SUM(D8:O8)</f>
        <v>27153</v>
      </c>
    </row>
    <row r="9" spans="1:22" ht="18" customHeight="1" thickTop="1" thickBot="1">
      <c r="B9" s="260"/>
      <c r="C9" s="29" t="s">
        <v>8</v>
      </c>
      <c r="D9" s="52">
        <f>+D7+D8</f>
        <v>2828</v>
      </c>
      <c r="E9" s="52">
        <f>+E7+E8</f>
        <v>2572</v>
      </c>
      <c r="F9" s="52">
        <f>+F7+F8</f>
        <v>2848</v>
      </c>
      <c r="G9" s="52">
        <f>+G7+G8</f>
        <v>2895</v>
      </c>
      <c r="H9" s="52">
        <f t="shared" ref="H9:O9" si="1">+H7+H8</f>
        <v>2931</v>
      </c>
      <c r="I9" s="52">
        <f>+I7+I8</f>
        <v>2649</v>
      </c>
      <c r="J9" s="147">
        <f t="shared" si="1"/>
        <v>2831</v>
      </c>
      <c r="K9" s="34">
        <f t="shared" si="1"/>
        <v>2955</v>
      </c>
      <c r="L9" s="34">
        <f t="shared" si="1"/>
        <v>2959</v>
      </c>
      <c r="M9" s="34">
        <f t="shared" si="1"/>
        <v>3045</v>
      </c>
      <c r="N9" s="34">
        <f t="shared" si="1"/>
        <v>3030</v>
      </c>
      <c r="O9" s="34">
        <f t="shared" si="1"/>
        <v>2822</v>
      </c>
      <c r="P9" s="34">
        <f>SUM(D9:O9)</f>
        <v>34365</v>
      </c>
      <c r="R9" s="66">
        <f t="shared" ref="R9" si="2">+D9+E9+F9+G9+H9+I9+J9+K9+L9+M9+N9+O9</f>
        <v>34365</v>
      </c>
      <c r="S9" s="45">
        <f>+R9/R61</f>
        <v>0.5350410138768007</v>
      </c>
      <c r="T9" s="66">
        <f t="shared" ref="T9" si="3">+D9</f>
        <v>2828</v>
      </c>
    </row>
    <row r="10" spans="1:22" ht="18" customHeight="1" thickTop="1" thickBot="1">
      <c r="B10" s="260"/>
      <c r="C10" s="32" t="s">
        <v>156</v>
      </c>
      <c r="D10" s="35">
        <f>+(D9-'Producción Acero Crudo 2016'!D9)/'Producción Acero Crudo 2016'!D9</f>
        <v>0.13255907088506208</v>
      </c>
      <c r="E10" s="35">
        <f>+(E9-'Producción Acero Crudo 2016'!E9)/'Producción Acero Crudo 2016'!E9</f>
        <v>5.7131113851212494E-2</v>
      </c>
      <c r="F10" s="35">
        <f>+(F9-'Producción Acero Crudo 2016'!F9)/'Producción Acero Crudo 2016'!F9</f>
        <v>0.13647246608140462</v>
      </c>
      <c r="G10" s="35">
        <f>+(G9-'Producción Acero Crudo 2016'!G9)/'Producción Acero Crudo 2016'!G9</f>
        <v>0.25869565217391305</v>
      </c>
      <c r="H10" s="35">
        <f>+(H9-'Producción Acero Crudo 2016'!H9)/'Producción Acero Crudo 2016'!H9</f>
        <v>0.13166023166023166</v>
      </c>
      <c r="I10" s="35">
        <f>+(I9-'Producción Acero Crudo 2016'!I9)/'Producción Acero Crudo 2016'!I9</f>
        <v>4.0455616653574236E-2</v>
      </c>
      <c r="J10" s="148">
        <f>+(J9-'Producción Acero Crudo 2016'!J9)/'Producción Acero Crudo 2016'!J9</f>
        <v>9.6291012838801704E-3</v>
      </c>
      <c r="K10" s="35">
        <f>+(K9-'Producción Acero Crudo 2016'!K9)/'Producción Acero Crudo 2016'!K9</f>
        <v>1.1639849366655255E-2</v>
      </c>
      <c r="L10" s="35">
        <f>+(L9-'Producción Acero Crudo 2016'!L9)/'Producción Acero Crudo 2016'!L9</f>
        <v>7.5999999999999998E-2</v>
      </c>
      <c r="M10" s="35">
        <f>+(M9-'Producción Acero Crudo 2016'!M9)/'Producción Acero Crudo 2016'!M9</f>
        <v>3.8540245566166441E-2</v>
      </c>
      <c r="N10" s="35">
        <f>+(N9-'Producción Acero Crudo 2016'!N9)/'Producción Acero Crudo 2016'!N9</f>
        <v>0.15296803652968036</v>
      </c>
      <c r="O10" s="35">
        <f>+(O9-'Producción Acero Crudo 2016'!O9)/'Producción Acero Crudo 2016'!O9</f>
        <v>0.19172297297297297</v>
      </c>
      <c r="P10" s="35">
        <f>+(P9-'Producción Acero Crudo 2016'!P9)/'Producción Acero Crudo 2015'!P9</f>
        <v>9.2915637310250723E-2</v>
      </c>
      <c r="R10" s="45">
        <f>+(R9-'Producción Acero Crudo 2016'!T9)/'Producción Acero Crudo 2016'!T9</f>
        <v>9.8800959232613908E-2</v>
      </c>
      <c r="V10" s="36">
        <f>1076/4</f>
        <v>269</v>
      </c>
    </row>
    <row r="11" spans="1:22" ht="18" customHeight="1" thickTop="1" thickBot="1">
      <c r="B11" s="260" t="s">
        <v>1</v>
      </c>
      <c r="C11" s="29" t="s">
        <v>13</v>
      </c>
      <c r="D11" s="34">
        <v>29.962274000000001</v>
      </c>
      <c r="E11" s="34">
        <v>29.02786</v>
      </c>
      <c r="F11" s="34">
        <v>40.513303999999998</v>
      </c>
      <c r="G11" s="34">
        <v>28.014510999999999</v>
      </c>
      <c r="H11" s="34">
        <v>31.500551999999999</v>
      </c>
      <c r="I11" s="34">
        <v>28.915108</v>
      </c>
      <c r="J11" s="147">
        <v>31.675687000000003</v>
      </c>
      <c r="K11" s="34">
        <v>31.836129</v>
      </c>
      <c r="L11" s="34">
        <v>13.435124999999999</v>
      </c>
      <c r="M11" s="34">
        <v>30.897864000000002</v>
      </c>
      <c r="N11" s="34">
        <v>36.424081000000001</v>
      </c>
      <c r="O11" s="34">
        <v>31.563583999999999</v>
      </c>
      <c r="P11" s="34">
        <f>SUM(D11:O11)</f>
        <v>363.76607899999999</v>
      </c>
    </row>
    <row r="12" spans="1:22" ht="18" customHeight="1" thickTop="1" thickBot="1">
      <c r="B12" s="260"/>
      <c r="C12" s="29" t="s">
        <v>14</v>
      </c>
      <c r="D12" s="34">
        <v>68.842799999999926</v>
      </c>
      <c r="E12" s="34">
        <v>61.645099999999985</v>
      </c>
      <c r="F12" s="34">
        <v>68.669499999999985</v>
      </c>
      <c r="G12" s="34">
        <v>62.550399999999954</v>
      </c>
      <c r="H12" s="34">
        <v>65.684600000000003</v>
      </c>
      <c r="I12" s="34">
        <v>63.546398999999958</v>
      </c>
      <c r="J12" s="147">
        <v>67.230400000000017</v>
      </c>
      <c r="K12" s="34">
        <v>65.182399999999987</v>
      </c>
      <c r="L12" s="34">
        <v>67.511599999999987</v>
      </c>
      <c r="M12" s="34">
        <v>73.228399999999979</v>
      </c>
      <c r="N12" s="34">
        <v>63.216700000000017</v>
      </c>
      <c r="O12" s="34">
        <v>66.449200000000033</v>
      </c>
      <c r="P12" s="34">
        <f>SUM(D12:O12)</f>
        <v>793.75749899999994</v>
      </c>
    </row>
    <row r="13" spans="1:22" ht="18" customHeight="1" thickTop="1" thickBot="1">
      <c r="B13" s="260"/>
      <c r="C13" s="29" t="s">
        <v>8</v>
      </c>
      <c r="D13" s="52">
        <f>+D11+D12</f>
        <v>98.805073999999934</v>
      </c>
      <c r="E13" s="52">
        <f>+E11+E12</f>
        <v>90.672959999999989</v>
      </c>
      <c r="F13" s="52">
        <f t="shared" ref="F13:O13" si="4">+F11+F12</f>
        <v>109.18280399999998</v>
      </c>
      <c r="G13" s="52">
        <f t="shared" si="4"/>
        <v>90.564910999999952</v>
      </c>
      <c r="H13" s="52">
        <f>+H11+H12</f>
        <v>97.185152000000002</v>
      </c>
      <c r="I13" s="52">
        <f t="shared" si="4"/>
        <v>92.461506999999955</v>
      </c>
      <c r="J13" s="34">
        <f t="shared" si="4"/>
        <v>98.906087000000014</v>
      </c>
      <c r="K13" s="34">
        <f t="shared" si="4"/>
        <v>97.018528999999987</v>
      </c>
      <c r="L13" s="34">
        <f t="shared" si="4"/>
        <v>80.946724999999986</v>
      </c>
      <c r="M13" s="34">
        <f t="shared" si="4"/>
        <v>104.12626399999998</v>
      </c>
      <c r="N13" s="34">
        <f t="shared" si="4"/>
        <v>99.640781000000018</v>
      </c>
      <c r="O13" s="34">
        <f t="shared" si="4"/>
        <v>98.012784000000039</v>
      </c>
      <c r="P13" s="34">
        <f>SUM(D13:O13)</f>
        <v>1157.5235779999998</v>
      </c>
      <c r="R13" s="66">
        <f t="shared" ref="R13" si="5">+D13+E13+F13+G13+H13+I13+J13+K13+L13+M13+N13+O13</f>
        <v>1157.5235779999998</v>
      </c>
      <c r="T13" s="66">
        <f t="shared" ref="T13" si="6">+D13</f>
        <v>98.805073999999934</v>
      </c>
    </row>
    <row r="14" spans="1:22" ht="18" customHeight="1" thickTop="1" thickBot="1">
      <c r="B14" s="260"/>
      <c r="C14" s="32" t="s">
        <v>156</v>
      </c>
      <c r="D14" s="35">
        <f>+(D13-'Producción Acero Crudo 2016'!D13)/'Producción Acero Crudo 2016'!D13</f>
        <v>-3.0287483698650294E-2</v>
      </c>
      <c r="E14" s="35">
        <f>+(E13-'Producción Acero Crudo 2016'!E13)/'Producción Acero Crudo 2016'!E13</f>
        <v>-8.8416051388533465E-2</v>
      </c>
      <c r="F14" s="35">
        <f>+(F13-'Producción Acero Crudo 2016'!F13)/'Producción Acero Crudo 2016'!F13</f>
        <v>4.4224337698259515E-2</v>
      </c>
      <c r="G14" s="35">
        <f>+(G13-'Producción Acero Crudo 2016'!G13)/'Producción Acero Crudo 2016'!G13</f>
        <v>-1.9417735060087305E-2</v>
      </c>
      <c r="H14" s="35">
        <f>+(H13-'Producción Acero Crudo 2016'!H13)/'Producción Acero Crudo 2016'!H13</f>
        <v>-6.0130000398441963E-2</v>
      </c>
      <c r="I14" s="35">
        <f>+(I13-'Producción Acero Crudo 2016'!I13)/'Producción Acero Crudo 2016'!I13</f>
        <v>-1.0184559567569982E-2</v>
      </c>
      <c r="J14" s="35">
        <f>+(J13-'Producción Acero Crudo 2016'!J13)/'Producción Acero Crudo 2016'!J13</f>
        <v>4.911479453018737E-3</v>
      </c>
      <c r="K14" s="35">
        <f>+(K13-'Producción Acero Crudo 2016'!K13)/'Producción Acero Crudo 2016'!K13</f>
        <v>9.6471474693655035E-4</v>
      </c>
      <c r="L14" s="35">
        <f>+(L13-'Producción Acero Crudo 2016'!L13)/'Producción Acero Crudo 2016'!L13</f>
        <v>-3.4419224039346261E-2</v>
      </c>
      <c r="M14" s="35">
        <f>+(M13-'Producción Acero Crudo 2016'!M13)/'Producción Acero Crudo 2016'!M13</f>
        <v>0.10093205653197634</v>
      </c>
      <c r="N14" s="35">
        <f>+(N13-'Producción Acero Crudo 2016'!N13)/'Producción Acero Crudo 2016'!N13</f>
        <v>7.7089073498030292E-2</v>
      </c>
      <c r="O14" s="35">
        <f>+(O13-'Producción Acero Crudo 2016'!O13)/'Producción Acero Crudo 2016'!O13</f>
        <v>7.52695500003535E-2</v>
      </c>
      <c r="P14" s="35">
        <f>+(P13-'Producción Acero Crudo 2016'!P13)/'Producción Acero Crudo 2015'!P13</f>
        <v>4.5072963288092767E-3</v>
      </c>
      <c r="R14" s="45">
        <f>+(R13-'Producción Acero Crudo 2016'!T13)/'Producción Acero Crudo 2016'!T13</f>
        <v>4.3480451848532473E-3</v>
      </c>
    </row>
    <row r="15" spans="1:22" ht="18" customHeight="1" thickTop="1" thickBot="1">
      <c r="B15" s="260" t="s">
        <v>2</v>
      </c>
      <c r="C15" s="29" t="s">
        <v>13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0</v>
      </c>
      <c r="S15" s="66">
        <f>+E15/E17</f>
        <v>0</v>
      </c>
    </row>
    <row r="16" spans="1:22" ht="18" customHeight="1" thickTop="1" thickBot="1">
      <c r="B16" s="260"/>
      <c r="C16" s="29" t="s">
        <v>14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>
        <f>SUM(D16:O16)</f>
        <v>0</v>
      </c>
    </row>
    <row r="17" spans="2:20" ht="18" customHeight="1" thickTop="1" thickBot="1">
      <c r="B17" s="260"/>
      <c r="C17" s="29" t="s">
        <v>8</v>
      </c>
      <c r="D17" s="52">
        <v>93.196766999999994</v>
      </c>
      <c r="E17" s="52">
        <v>108.86480899999999</v>
      </c>
      <c r="F17" s="52">
        <v>116.85522810000001</v>
      </c>
      <c r="G17" s="52">
        <v>104.97708373</v>
      </c>
      <c r="H17" s="52">
        <v>104.81043467000001</v>
      </c>
      <c r="I17" s="52">
        <v>110.121189</v>
      </c>
      <c r="J17" s="34">
        <v>113.57599999999999</v>
      </c>
      <c r="K17" s="34">
        <v>107.45078354</v>
      </c>
      <c r="L17" s="34">
        <v>89.098900999999998</v>
      </c>
      <c r="M17" s="34">
        <v>89.098900999999998</v>
      </c>
      <c r="N17" s="34">
        <v>112.6549067</v>
      </c>
      <c r="O17" s="34">
        <v>102.053427</v>
      </c>
      <c r="P17" s="34">
        <f>SUM(D17:O17)</f>
        <v>1252.75843074</v>
      </c>
      <c r="R17" s="66">
        <f t="shared" ref="R17" si="7">+D17+E17+F17+G17+H17+I17+J17+K17+L17+M17+N17+O17</f>
        <v>1252.75843074</v>
      </c>
      <c r="T17" s="66">
        <f t="shared" ref="T17" si="8">+D17</f>
        <v>93.196766999999994</v>
      </c>
    </row>
    <row r="18" spans="2:20" ht="18" customHeight="1" thickTop="1" thickBot="1">
      <c r="B18" s="260"/>
      <c r="C18" s="32" t="s">
        <v>156</v>
      </c>
      <c r="D18" s="35">
        <f>+(D17-'Producción Acero Crudo 2016'!D17)/'Producción Acero Crudo 2016'!D17</f>
        <v>-4.4233750384576054E-2</v>
      </c>
      <c r="E18" s="35">
        <f>+(E17-'Producción Acero Crudo 2016'!E17)/'Producción Acero Crudo 2016'!E17</f>
        <v>-9.1779078304106296E-2</v>
      </c>
      <c r="F18" s="35">
        <f>+(F17-'Producción Acero Crudo 2016'!F17)/'Producción Acero Crudo 2016'!F17</f>
        <v>1.9118879673478004E-2</v>
      </c>
      <c r="G18" s="35">
        <f>+(G17-'Producción Acero Crudo 2016'!G17)/'Producción Acero Crudo 2016'!G17</f>
        <v>0.15935287063215092</v>
      </c>
      <c r="H18" s="35">
        <f>+(H17-'Producción Acero Crudo 2016'!H17)/'Producción Acero Crudo 2016'!H17</f>
        <v>-2.1432649244673391E-2</v>
      </c>
      <c r="I18" s="35">
        <f>+(I17-'Producción Acero Crudo 2016'!I17)/'Producción Acero Crudo 2016'!I17</f>
        <v>-4.2481847528279236E-3</v>
      </c>
      <c r="J18" s="35">
        <f>+(J17-'Producción Acero Crudo 2016'!J17)/'Producción Acero Crudo 2016'!J17</f>
        <v>0.31569436078031599</v>
      </c>
      <c r="K18" s="35">
        <f>+(K17-'Producción Acero Crudo 2016'!K17)/'Producción Acero Crudo 2016'!K17</f>
        <v>-0.13573360729051037</v>
      </c>
      <c r="L18" s="35">
        <f>+(L17-'Producción Acero Crudo 2016'!L17)/'Producción Acero Crudo 2016'!L17</f>
        <v>-0.23072558753950032</v>
      </c>
      <c r="M18" s="35">
        <f>+(M17-'Producción Acero Crudo 2016'!M17)/'Producción Acero Crudo 2016'!M17</f>
        <v>-0.14334569456195675</v>
      </c>
      <c r="N18" s="35">
        <f>+(N17-'Producción Acero Crudo 2016'!N17)/'Producción Acero Crudo 2016'!N17</f>
        <v>8.6312068001234324E-2</v>
      </c>
      <c r="O18" s="35">
        <f>+(O17-'Producción Acero Crudo 2016'!O17)/'Producción Acero Crudo 2016'!O17</f>
        <v>4.7486087018998757E-2</v>
      </c>
      <c r="P18" s="35">
        <f>+(P17-'Producción Acero Crudo 2016'!P17)/'Producción Acero Crudo 2015'!P17</f>
        <v>-1.4093058300045782E-2</v>
      </c>
      <c r="R18" s="45">
        <f>+(R17-'Producción Acero Crudo 2016'!T17)/'Producción Acero Crudo 2016'!T17</f>
        <v>-1.5045714669842844E-2</v>
      </c>
    </row>
    <row r="19" spans="2:20" ht="18" customHeight="1" thickTop="1" thickBot="1">
      <c r="B19" s="260" t="s">
        <v>9</v>
      </c>
      <c r="C19" s="29" t="s">
        <v>13</v>
      </c>
      <c r="D19" s="30">
        <v>18</v>
      </c>
      <c r="E19" s="30">
        <v>17</v>
      </c>
      <c r="F19" s="30">
        <v>16</v>
      </c>
      <c r="G19" s="30">
        <v>17</v>
      </c>
      <c r="H19" s="30">
        <v>17</v>
      </c>
      <c r="I19" s="30">
        <v>16</v>
      </c>
      <c r="J19" s="30">
        <v>18</v>
      </c>
      <c r="K19" s="30">
        <v>20</v>
      </c>
      <c r="L19" s="30">
        <v>20</v>
      </c>
      <c r="M19" s="30">
        <v>19</v>
      </c>
      <c r="N19" s="30">
        <v>22</v>
      </c>
      <c r="O19" s="30">
        <v>21</v>
      </c>
      <c r="P19" s="34">
        <f>SUM(D19:O19)</f>
        <v>221</v>
      </c>
    </row>
    <row r="20" spans="2:20" ht="18" customHeight="1" thickTop="1" thickBot="1">
      <c r="B20" s="260"/>
      <c r="C20" s="29" t="s">
        <v>14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4">
        <f>SUM(D20:O20)</f>
        <v>0</v>
      </c>
    </row>
    <row r="21" spans="2:20" ht="18" customHeight="1" thickTop="1" thickBot="1">
      <c r="B21" s="260"/>
      <c r="C21" s="29" t="s">
        <v>8</v>
      </c>
      <c r="D21" s="30">
        <f>+D19+D20</f>
        <v>18</v>
      </c>
      <c r="E21" s="30">
        <f>+E19+E20</f>
        <v>17</v>
      </c>
      <c r="F21" s="30">
        <f t="shared" ref="F21:O21" si="9">+F19+F20</f>
        <v>16</v>
      </c>
      <c r="G21" s="30">
        <f t="shared" si="9"/>
        <v>17</v>
      </c>
      <c r="H21" s="30">
        <f t="shared" si="9"/>
        <v>17</v>
      </c>
      <c r="I21" s="30">
        <f t="shared" si="9"/>
        <v>16</v>
      </c>
      <c r="J21" s="30">
        <f t="shared" si="9"/>
        <v>18</v>
      </c>
      <c r="K21" s="30">
        <f t="shared" si="9"/>
        <v>20</v>
      </c>
      <c r="L21" s="30">
        <f t="shared" si="9"/>
        <v>20</v>
      </c>
      <c r="M21" s="30">
        <f t="shared" si="9"/>
        <v>19</v>
      </c>
      <c r="N21" s="30">
        <f t="shared" si="9"/>
        <v>22</v>
      </c>
      <c r="O21" s="30">
        <f t="shared" si="9"/>
        <v>21</v>
      </c>
      <c r="P21" s="34">
        <f>SUM(D21:O21)</f>
        <v>221</v>
      </c>
      <c r="R21" s="66">
        <f t="shared" ref="R21" si="10">+D21+E21+F21+G21+H21+I21+J21+K21+L21+M21+N21+O21</f>
        <v>221</v>
      </c>
      <c r="T21" s="66">
        <f t="shared" ref="T21" si="11">+D21</f>
        <v>18</v>
      </c>
    </row>
    <row r="22" spans="2:20" ht="18" customHeight="1" thickTop="1" thickBot="1">
      <c r="B22" s="260"/>
      <c r="C22" s="32" t="s">
        <v>156</v>
      </c>
      <c r="D22" s="37">
        <f>+(D21-'Producción Acero Crudo 2016'!D21)/'Producción Acero Crudo 2016'!D21</f>
        <v>-2.0248203788373605E-2</v>
      </c>
      <c r="E22" s="37">
        <f>+(E21-'Producción Acero Crudo 2016'!E21)/'Producción Acero Crudo 2016'!E21</f>
        <v>0.31512783816191536</v>
      </c>
      <c r="F22" s="37">
        <f>+(F21-'Producción Acero Crudo 2016'!F21)/'Producción Acero Crudo 2016'!F21</f>
        <v>-0.43473743377154139</v>
      </c>
      <c r="G22" s="37">
        <f>+(G21-'Producción Acero Crudo 2016'!G21)/'Producción Acero Crudo 2016'!G21</f>
        <v>-0.1443517231162442</v>
      </c>
      <c r="H22" s="37">
        <f>+(H21-'Producción Acero Crudo 2016'!H21)/'Producción Acero Crudo 2016'!H21</f>
        <v>-0.1443517231162442</v>
      </c>
      <c r="I22" s="37">
        <f>+(I21-'Producción Acero Crudo 2016'!I21)/'Producción Acero Crudo 2016'!I21</f>
        <v>-0.20956313336584279</v>
      </c>
      <c r="J22" s="37">
        <f>+(J21-'Producción Acero Crudo 2016'!J21)/'Producción Acero Crudo 2016'!J21</f>
        <v>-0.11075852503657314</v>
      </c>
      <c r="K22" s="37">
        <f>+(K21-'Producción Acero Crudo 2016'!K21)/'Producción Acero Crudo 2016'!K21</f>
        <v>-7.85560881757323E-2</v>
      </c>
      <c r="L22" s="37">
        <f>+(L21-'Producción Acero Crudo 2016'!L21)/'Producción Acero Crudo 2016'!L21</f>
        <v>-1.8886051071298135E-2</v>
      </c>
      <c r="M22" s="37">
        <f>+(M21-'Producción Acero Crudo 2016'!M21)/'Producción Acero Crudo 2016'!M21</f>
        <v>-7.2645761750669988E-2</v>
      </c>
      <c r="N22" s="37">
        <f>+(N21-'Producción Acero Crudo 2016'!N21)/'Producción Acero Crudo 2016'!N21</f>
        <v>6.7314623844437482E-2</v>
      </c>
      <c r="O22" s="37">
        <f>+(O21-'Producción Acero Crudo 2016'!O21)/'Producción Acero Crudo 2016'!O21</f>
        <v>1.5150869098564322E-2</v>
      </c>
      <c r="P22" s="35">
        <f>+(P21-'Producción Acero Crudo 2016'!P21)/'Producción Acero Crudo 2015'!P21</f>
        <v>-7.9805581641812465E-2</v>
      </c>
      <c r="R22" s="45">
        <f>+(R21-'Producción Acero Crudo 2016'!T21)/'Producción Acero Crudo 2016'!T21</f>
        <v>-9.315228427544181E-2</v>
      </c>
    </row>
    <row r="23" spans="2:20" ht="18" customHeight="1" thickTop="1">
      <c r="B23" s="256" t="s">
        <v>4</v>
      </c>
      <c r="C23" s="29" t="s">
        <v>13</v>
      </c>
      <c r="D23" s="30">
        <v>47</v>
      </c>
      <c r="E23" s="30">
        <v>48</v>
      </c>
      <c r="F23" s="30">
        <v>46</v>
      </c>
      <c r="G23" s="30">
        <v>45</v>
      </c>
      <c r="H23" s="30">
        <v>47</v>
      </c>
      <c r="I23" s="30">
        <v>46</v>
      </c>
      <c r="J23" s="30">
        <v>49</v>
      </c>
      <c r="K23" s="30">
        <v>49</v>
      </c>
      <c r="L23" s="30">
        <v>48</v>
      </c>
      <c r="M23" s="30">
        <v>43</v>
      </c>
      <c r="N23" s="30">
        <v>47</v>
      </c>
      <c r="O23" s="30">
        <v>46</v>
      </c>
      <c r="P23" s="34">
        <f>SUM(D23:O23)</f>
        <v>561</v>
      </c>
    </row>
    <row r="24" spans="2:20" ht="18" customHeight="1">
      <c r="B24" s="257"/>
      <c r="C24" s="29" t="s">
        <v>14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4">
        <f>SUM(D24:O24)</f>
        <v>0</v>
      </c>
    </row>
    <row r="25" spans="2:20" ht="18" customHeight="1">
      <c r="B25" s="257"/>
      <c r="C25" s="29" t="s">
        <v>8</v>
      </c>
      <c r="D25" s="30">
        <f>+D23+D24</f>
        <v>47</v>
      </c>
      <c r="E25" s="30">
        <f>+E23+E24</f>
        <v>48</v>
      </c>
      <c r="F25" s="30">
        <f t="shared" ref="F25:O25" si="12">+F23+F24</f>
        <v>46</v>
      </c>
      <c r="G25" s="30">
        <f t="shared" si="12"/>
        <v>45</v>
      </c>
      <c r="H25" s="30">
        <f t="shared" si="12"/>
        <v>47</v>
      </c>
      <c r="I25" s="30">
        <f t="shared" si="12"/>
        <v>46</v>
      </c>
      <c r="J25" s="30">
        <f t="shared" si="12"/>
        <v>49</v>
      </c>
      <c r="K25" s="30">
        <f t="shared" si="12"/>
        <v>49</v>
      </c>
      <c r="L25" s="30">
        <f t="shared" si="12"/>
        <v>48</v>
      </c>
      <c r="M25" s="30">
        <f t="shared" si="12"/>
        <v>43</v>
      </c>
      <c r="N25" s="30">
        <f t="shared" si="12"/>
        <v>47</v>
      </c>
      <c r="O25" s="30">
        <f t="shared" si="12"/>
        <v>46</v>
      </c>
      <c r="P25" s="34">
        <f>SUM(D25:O25)</f>
        <v>561</v>
      </c>
      <c r="R25" s="66">
        <f t="shared" ref="R25" si="13">+D25+E25+F25+G25+H25+I25+J25+K25+L25+M25+N25+O25</f>
        <v>561</v>
      </c>
      <c r="T25" s="66">
        <f t="shared" ref="T25" si="14">+D25</f>
        <v>47</v>
      </c>
    </row>
    <row r="26" spans="2:20" ht="18" customHeight="1" thickBot="1">
      <c r="B26" s="258"/>
      <c r="C26" s="32" t="s">
        <v>156</v>
      </c>
      <c r="D26" s="37">
        <f>+(D25-'Producción Acero Crudo 2016'!D25)/'Producción Acero Crudo 2016'!D25</f>
        <v>-3.7940609169334247E-3</v>
      </c>
      <c r="E26" s="37">
        <f>+(E25-'Producción Acero Crudo 2016'!E25)/'Producción Acero Crudo 2016'!E25</f>
        <v>-1.2223731324854945E-2</v>
      </c>
      <c r="F26" s="37">
        <f>+(F25-'Producción Acero Crudo 2016'!F25)/'Producción Acero Crudo 2016'!F25</f>
        <v>-8.0955805961799715E-2</v>
      </c>
      <c r="G26" s="37">
        <f>+(G25-'Producción Acero Crudo 2016'!G25)/'Producción Acero Crudo 2016'!G25</f>
        <v>-7.4232813303617237E-2</v>
      </c>
      <c r="H26" s="37">
        <f>+(H25-'Producción Acero Crudo 2016'!H25)/'Producción Acero Crudo 2016'!H25</f>
        <v>-3.308760500600022E-2</v>
      </c>
      <c r="I26" s="37">
        <f>+(I25-'Producción Acero Crudo 2016'!I25)/'Producción Acero Crudo 2016'!I25</f>
        <v>2.2222222222222223E-2</v>
      </c>
      <c r="J26" s="37">
        <f>+(J25-'Producción Acero Crudo 2016'!J25)/'Producción Acero Crudo 2016'!J25</f>
        <v>1.9406871634483722E-2</v>
      </c>
      <c r="K26" s="37">
        <f>+(K25-'Producción Acero Crudo 2016'!K25)/'Producción Acero Crudo 2016'!K25</f>
        <v>0</v>
      </c>
      <c r="L26" s="37">
        <f>+(L25-'Producción Acero Crudo 2016'!L25)/'Producción Acero Crudo 2016'!L25</f>
        <v>2.9929588501244712E-3</v>
      </c>
      <c r="M26" s="37">
        <f>+(M25-'Producción Acero Crudo 2016'!M25)/'Producción Acero Crudo 2016'!M25</f>
        <v>-9.8654437806317663E-2</v>
      </c>
      <c r="N26" s="37">
        <f>+(N25-'Producción Acero Crudo 2016'!N25)/'Producción Acero Crudo 2016'!N25</f>
        <v>-1.1069235309356339E-2</v>
      </c>
      <c r="O26" s="37">
        <f>+(O25-'Producción Acero Crudo 2016'!O25)/'Producción Acero Crudo 2016'!O25</f>
        <v>-4.2291029068449226E-2</v>
      </c>
      <c r="P26" s="35">
        <f>+(P25-'Producción Acero Crudo 2016'!P25)/'Producción Acero Crudo 2015'!P25</f>
        <v>-2.1161196852943587E-2</v>
      </c>
      <c r="R26" s="45">
        <f>+(R25-'Producción Acero Crudo 2016'!T25)/'Producción Acero Crudo 2016'!T25</f>
        <v>-2.6429444326262524E-2</v>
      </c>
    </row>
    <row r="27" spans="2:20" ht="18" customHeight="1" thickTop="1">
      <c r="B27" s="256" t="s">
        <v>10</v>
      </c>
      <c r="C27" s="29" t="s">
        <v>13</v>
      </c>
      <c r="D27" s="30">
        <v>8</v>
      </c>
      <c r="E27" s="30">
        <v>8</v>
      </c>
      <c r="F27" s="30">
        <v>7.5</v>
      </c>
      <c r="G27" s="30">
        <v>7.3</v>
      </c>
      <c r="H27" s="30">
        <v>7.5</v>
      </c>
      <c r="I27" s="30">
        <v>7</v>
      </c>
      <c r="J27" s="30">
        <v>9</v>
      </c>
      <c r="K27" s="30">
        <v>8</v>
      </c>
      <c r="L27" s="30">
        <v>9</v>
      </c>
      <c r="M27" s="30">
        <v>8</v>
      </c>
      <c r="N27" s="30">
        <v>9</v>
      </c>
      <c r="O27" s="30">
        <v>8</v>
      </c>
      <c r="P27" s="34">
        <f>SUM(D27:O27)</f>
        <v>96.3</v>
      </c>
    </row>
    <row r="28" spans="2:20" ht="18" customHeight="1">
      <c r="B28" s="257"/>
      <c r="C28" s="29" t="s">
        <v>14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4">
        <f>SUM(D28:O28)</f>
        <v>0</v>
      </c>
    </row>
    <row r="29" spans="2:20" ht="18" customHeight="1">
      <c r="B29" s="257"/>
      <c r="C29" s="29" t="s">
        <v>8</v>
      </c>
      <c r="D29" s="30">
        <f>+D27+D28</f>
        <v>8</v>
      </c>
      <c r="E29" s="30">
        <f>+E27+E28</f>
        <v>8</v>
      </c>
      <c r="F29" s="30">
        <f t="shared" ref="F29:O29" si="15">+F27+F28</f>
        <v>7.5</v>
      </c>
      <c r="G29" s="30">
        <f t="shared" si="15"/>
        <v>7.3</v>
      </c>
      <c r="H29" s="30">
        <f t="shared" si="15"/>
        <v>7.5</v>
      </c>
      <c r="I29" s="30">
        <f t="shared" si="15"/>
        <v>7</v>
      </c>
      <c r="J29" s="30">
        <f t="shared" si="15"/>
        <v>9</v>
      </c>
      <c r="K29" s="30">
        <f t="shared" si="15"/>
        <v>8</v>
      </c>
      <c r="L29" s="30">
        <f t="shared" si="15"/>
        <v>9</v>
      </c>
      <c r="M29" s="30">
        <f t="shared" si="15"/>
        <v>8</v>
      </c>
      <c r="N29" s="30">
        <f t="shared" si="15"/>
        <v>9</v>
      </c>
      <c r="O29" s="30">
        <f t="shared" si="15"/>
        <v>8</v>
      </c>
      <c r="P29" s="34">
        <f>SUM(D29:O29)</f>
        <v>96.3</v>
      </c>
      <c r="R29" s="66">
        <f t="shared" ref="R29" si="16">+D29+E29+F29+G29+H29+I29+J29+K29+L29+M29+N29+O29</f>
        <v>96.3</v>
      </c>
      <c r="T29" s="66">
        <f t="shared" ref="T29" si="17">+D29</f>
        <v>8</v>
      </c>
    </row>
    <row r="30" spans="2:20" ht="18" customHeight="1" thickBot="1">
      <c r="B30" s="258"/>
      <c r="C30" s="32" t="s">
        <v>156</v>
      </c>
      <c r="D30" s="37">
        <f>+(D29-'Producción Acero Crudo 2016'!D29)/'Producción Acero Crudo 2016'!D29</f>
        <v>-2.9126213592233035E-2</v>
      </c>
      <c r="E30" s="37">
        <f>+(E29-'Producción Acero Crudo 2016'!E29)/'Producción Acero Crudo 2016'!E29</f>
        <v>-5.7404090866245601E-2</v>
      </c>
      <c r="F30" s="37">
        <f>+(F29-'Producción Acero Crudo 2016'!F29)/'Producción Acero Crudo 2016'!F29</f>
        <v>-0.14203447648659684</v>
      </c>
      <c r="G30" s="37">
        <f>+(G29-'Producción Acero Crudo 2016'!G29)/'Producción Acero Crudo 2016'!G29</f>
        <v>-0.14012472510494209</v>
      </c>
      <c r="H30" s="37">
        <f>+(H29-'Producción Acero Crudo 2016'!H29)/'Producción Acero Crudo 2016'!H29</f>
        <v>-0.12514043116190154</v>
      </c>
      <c r="I30" s="37">
        <f>+(I29-'Producción Acero Crudo 2016'!I29)/'Producción Acero Crudo 2016'!I29</f>
        <v>-0.1861732470946815</v>
      </c>
      <c r="J30" s="37">
        <f>+(J29-'Producción Acero Crudo 2016'!J29)/'Producción Acero Crudo 2016'!J29</f>
        <v>0.125</v>
      </c>
      <c r="K30" s="37">
        <f>+(K29-'Producción Acero Crudo 2016'!K29)/'Producción Acero Crudo 2016'!K29</f>
        <v>-4.6640859666299467E-2</v>
      </c>
      <c r="L30" s="37">
        <f>+(L29-'Producción Acero Crudo 2016'!L29)/'Producción Acero Crudo 2016'!L29</f>
        <v>8.0314566262148696E-2</v>
      </c>
      <c r="M30" s="37">
        <f>+(M29-'Producción Acero Crudo 2016'!M29)/'Producción Acero Crudo 2016'!M29</f>
        <v>0</v>
      </c>
      <c r="N30" s="37">
        <f>+(N29-'Producción Acero Crudo 2016'!N29)/'Producción Acero Crudo 2016'!N29</f>
        <v>9.2131922744775135E-2</v>
      </c>
      <c r="O30" s="37">
        <f>+(O29-'Producción Acero Crudo 2016'!O29)/'Producción Acero Crudo 2016'!O29</f>
        <v>-2.3510230237266855E-2</v>
      </c>
      <c r="P30" s="35">
        <f>+(P29-'Producción Acero Crudo 2016'!P29)/'Producción Acero Crudo 2015'!P29</f>
        <v>-3.2194131928037238E-2</v>
      </c>
      <c r="R30" s="45">
        <f>+(R29-'Producción Acero Crudo 2016'!T29)/'Producción Acero Crudo 2016'!T29</f>
        <v>-3.9767562174431843E-2</v>
      </c>
    </row>
    <row r="31" spans="2:20" ht="18" customHeight="1" thickTop="1" thickBot="1">
      <c r="B31" s="260" t="s">
        <v>11</v>
      </c>
      <c r="C31" s="29" t="s">
        <v>13</v>
      </c>
      <c r="D31" s="30">
        <v>25</v>
      </c>
      <c r="E31" s="30">
        <v>24</v>
      </c>
      <c r="F31" s="30">
        <v>22.2</v>
      </c>
      <c r="G31" s="30">
        <v>24.2</v>
      </c>
      <c r="H31" s="30">
        <v>23.4</v>
      </c>
      <c r="I31" s="30">
        <v>23</v>
      </c>
      <c r="J31" s="30">
        <v>25</v>
      </c>
      <c r="K31" s="30">
        <v>25</v>
      </c>
      <c r="L31" s="30">
        <v>26</v>
      </c>
      <c r="M31" s="30">
        <v>25</v>
      </c>
      <c r="N31" s="30">
        <v>26</v>
      </c>
      <c r="O31" s="30">
        <v>25</v>
      </c>
      <c r="P31" s="34">
        <f>SUM(D31:O31)</f>
        <v>293.8</v>
      </c>
    </row>
    <row r="32" spans="2:20" ht="18" customHeight="1" thickTop="1" thickBot="1">
      <c r="B32" s="260"/>
      <c r="C32" s="29" t="s">
        <v>14</v>
      </c>
      <c r="D32" s="17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4">
        <f>SUM(D32:O32)</f>
        <v>0</v>
      </c>
    </row>
    <row r="33" spans="2:20" ht="18" customHeight="1" thickTop="1" thickBot="1">
      <c r="B33" s="260"/>
      <c r="C33" s="29" t="s">
        <v>8</v>
      </c>
      <c r="D33" s="30">
        <f>+D31+D32</f>
        <v>25</v>
      </c>
      <c r="E33" s="30">
        <f>+E31+E32</f>
        <v>24</v>
      </c>
      <c r="F33" s="30">
        <f t="shared" ref="F33:O33" si="18">+F31+F32</f>
        <v>22.2</v>
      </c>
      <c r="G33" s="30">
        <f t="shared" si="18"/>
        <v>24.2</v>
      </c>
      <c r="H33" s="30">
        <f t="shared" si="18"/>
        <v>23.4</v>
      </c>
      <c r="I33" s="30">
        <f t="shared" si="18"/>
        <v>23</v>
      </c>
      <c r="J33" s="30">
        <f t="shared" si="18"/>
        <v>25</v>
      </c>
      <c r="K33" s="30">
        <f t="shared" si="18"/>
        <v>25</v>
      </c>
      <c r="L33" s="30">
        <f t="shared" si="18"/>
        <v>26</v>
      </c>
      <c r="M33" s="30">
        <f t="shared" si="18"/>
        <v>25</v>
      </c>
      <c r="N33" s="30">
        <f t="shared" si="18"/>
        <v>26</v>
      </c>
      <c r="O33" s="30">
        <f t="shared" si="18"/>
        <v>25</v>
      </c>
      <c r="P33" s="34">
        <f>SUM(D33:O33)</f>
        <v>293.8</v>
      </c>
      <c r="R33" s="66">
        <f t="shared" ref="R33" si="19">+D33+E33+F33+G33+H33+I33+J33+K33+L33+M33+N33+O33</f>
        <v>293.8</v>
      </c>
      <c r="T33" s="66">
        <f t="shared" ref="T33" si="20">+D33</f>
        <v>25</v>
      </c>
    </row>
    <row r="34" spans="2:20" ht="18" customHeight="1" thickTop="1" thickBot="1">
      <c r="B34" s="260"/>
      <c r="C34" s="32" t="s">
        <v>156</v>
      </c>
      <c r="D34" s="37">
        <f>+(D33-'Producción Acero Crudo 2016'!D33)/'Producción Acero Crudo 2016'!D33</f>
        <v>-6.646751306945485E-2</v>
      </c>
      <c r="E34" s="37">
        <f>+(E33-'Producción Acero Crudo 2016'!E33)/'Producción Acero Crudo 2016'!E33</f>
        <v>-0.12991146849191909</v>
      </c>
      <c r="F34" s="37">
        <f>+(F33-'Producción Acero Crudo 2016'!F33)/'Producción Acero Crudo 2016'!F33</f>
        <v>-0.21859848246193572</v>
      </c>
      <c r="G34" s="37">
        <f>+(G33-'Producción Acero Crudo 2016'!G33)/'Producción Acero Crudo 2016'!G33</f>
        <v>-3.2000000000000028E-2</v>
      </c>
      <c r="H34" s="37">
        <f>+(H33-'Producción Acero Crudo 2016'!H33)/'Producción Acero Crudo 2016'!H33</f>
        <v>-0.13151506362069701</v>
      </c>
      <c r="I34" s="37">
        <f>+(I33-'Producción Acero Crudo 2016'!I33)/'Producción Acero Crudo 2016'!I33</f>
        <v>-0.1476538070864942</v>
      </c>
      <c r="J34" s="37">
        <f>+(J33-'Producción Acero Crudo 2016'!J33)/'Producción Acero Crudo 2016'!J33</f>
        <v>4.1666666666666664E-2</v>
      </c>
      <c r="K34" s="37">
        <f>+(K33-'Producción Acero Crudo 2016'!K33)/'Producción Acero Crudo 2016'!K33</f>
        <v>-4.825936512189874E-2</v>
      </c>
      <c r="L34" s="37">
        <f>+(L33-'Producción Acero Crudo 2016'!L33)/'Producción Acero Crudo 2016'!L33</f>
        <v>0.04</v>
      </c>
      <c r="M34" s="37">
        <f>+(M33-'Producción Acero Crudo 2016'!M33)/'Producción Acero Crudo 2016'!M33</f>
        <v>-3.2473844696126498E-2</v>
      </c>
      <c r="N34" s="37">
        <f>+(N33-'Producción Acero Crudo 2016'!N33)/'Producción Acero Crudo 2016'!N33</f>
        <v>1.490270643011757E-2</v>
      </c>
      <c r="O34" s="37">
        <f>+(O33-'Producción Acero Crudo 2016'!O33)/'Producción Acero Crudo 2016'!O33</f>
        <v>-1.3611954397979305E-2</v>
      </c>
      <c r="P34" s="35">
        <f>+(P33-'Producción Acero Crudo 2016'!P33)/'Producción Acero Crudo 2015'!P33</f>
        <v>-4.9601485356374111E-2</v>
      </c>
      <c r="R34" s="45">
        <f>+(R33-'Producción Acero Crudo 2016'!T33)/'Producción Acero Crudo 2016'!T33</f>
        <v>-6.3650336719546105E-2</v>
      </c>
    </row>
    <row r="35" spans="2:20" ht="18" customHeight="1" thickTop="1" thickBot="1">
      <c r="B35" s="260" t="s">
        <v>20</v>
      </c>
      <c r="C35" s="29" t="s">
        <v>13</v>
      </c>
      <c r="D35" s="171">
        <v>1251.848</v>
      </c>
      <c r="E35" s="171">
        <v>1266.7670000000001</v>
      </c>
      <c r="F35" s="171">
        <v>1318.539</v>
      </c>
      <c r="G35" s="171">
        <v>1231.7180000000001</v>
      </c>
      <c r="H35" s="171">
        <v>1356.462</v>
      </c>
      <c r="I35" s="171">
        <v>1279.5409999999999</v>
      </c>
      <c r="J35" s="171">
        <v>1326.432</v>
      </c>
      <c r="K35" s="171">
        <v>1263.3820000000001</v>
      </c>
      <c r="L35" s="171">
        <v>1174.953</v>
      </c>
      <c r="M35" s="171">
        <v>1275.905</v>
      </c>
      <c r="N35" s="171">
        <v>1244.78</v>
      </c>
      <c r="O35" s="171">
        <v>1212.9849999999999</v>
      </c>
      <c r="P35" s="34">
        <f>SUM(D35:O35)</f>
        <v>15203.312</v>
      </c>
    </row>
    <row r="36" spans="2:20" ht="18" customHeight="1" thickTop="1" thickBot="1">
      <c r="B36" s="260"/>
      <c r="C36" s="29" t="s">
        <v>14</v>
      </c>
      <c r="D36" s="171">
        <v>426.38799999999998</v>
      </c>
      <c r="E36" s="171">
        <v>385.197</v>
      </c>
      <c r="F36" s="171">
        <v>382.69200000000001</v>
      </c>
      <c r="G36" s="171">
        <v>342.899</v>
      </c>
      <c r="H36" s="171">
        <v>384.43900000000002</v>
      </c>
      <c r="I36" s="171">
        <v>418.267</v>
      </c>
      <c r="J36" s="171">
        <v>401.21800000000002</v>
      </c>
      <c r="K36" s="171">
        <v>372.69499999999999</v>
      </c>
      <c r="L36" s="171">
        <v>417.685</v>
      </c>
      <c r="M36" s="171">
        <v>395.59899999999999</v>
      </c>
      <c r="N36" s="171">
        <v>388.399</v>
      </c>
      <c r="O36" s="171">
        <v>405.34699999999998</v>
      </c>
      <c r="P36" s="34">
        <f>SUM(D36:O36)</f>
        <v>4720.8249999999998</v>
      </c>
    </row>
    <row r="37" spans="2:20" ht="18" customHeight="1" thickTop="1" thickBot="1">
      <c r="B37" s="260"/>
      <c r="C37" s="29" t="s">
        <v>8</v>
      </c>
      <c r="D37" s="52">
        <f>+D35+D36</f>
        <v>1678.2359999999999</v>
      </c>
      <c r="E37" s="52">
        <f>+E35+E36</f>
        <v>1651.9639999999999</v>
      </c>
      <c r="F37" s="52">
        <f>+F35+F36</f>
        <v>1701.231</v>
      </c>
      <c r="G37" s="52">
        <f t="shared" ref="G37:O37" si="21">+G35+G36</f>
        <v>1574.6170000000002</v>
      </c>
      <c r="H37" s="52">
        <f t="shared" si="21"/>
        <v>1740.9010000000001</v>
      </c>
      <c r="I37" s="52">
        <f t="shared" si="21"/>
        <v>1697.808</v>
      </c>
      <c r="J37" s="34">
        <f t="shared" si="21"/>
        <v>1727.65</v>
      </c>
      <c r="K37" s="34">
        <f t="shared" si="21"/>
        <v>1636.077</v>
      </c>
      <c r="L37" s="34">
        <f t="shared" si="21"/>
        <v>1592.6379999999999</v>
      </c>
      <c r="M37" s="34">
        <f t="shared" si="21"/>
        <v>1671.5039999999999</v>
      </c>
      <c r="N37" s="34">
        <f t="shared" si="21"/>
        <v>1633.1790000000001</v>
      </c>
      <c r="O37" s="171">
        <f t="shared" si="21"/>
        <v>1618.3319999999999</v>
      </c>
      <c r="P37" s="34">
        <f>SUM(D37:O37)</f>
        <v>19924.136999999999</v>
      </c>
      <c r="R37" s="66">
        <f t="shared" ref="R37" si="22">+D37+E37+F37+G37+H37+I37+J37+K37+L37+M37+N37+O37</f>
        <v>19924.136999999999</v>
      </c>
      <c r="T37" s="66">
        <f t="shared" ref="T37" si="23">+D37</f>
        <v>1678.2359999999999</v>
      </c>
    </row>
    <row r="38" spans="2:20" ht="18" customHeight="1" thickTop="1" thickBot="1">
      <c r="B38" s="260"/>
      <c r="C38" s="32" t="s">
        <v>156</v>
      </c>
      <c r="D38" s="35">
        <f>+(D37-'Producción Acero Crudo 2016'!D37)/'Producción Acero Crudo 2016'!D37</f>
        <v>0.20452083965833162</v>
      </c>
      <c r="E38" s="35">
        <f>+(E37-'Producción Acero Crudo 2016'!E37)/'Producción Acero Crudo 2016'!E37</f>
        <v>0.15534238604383122</v>
      </c>
      <c r="F38" s="35">
        <f>+(F37-'Producción Acero Crudo 2016'!F37)/'Producción Acero Crudo 2016'!F37</f>
        <v>0.26130628676920353</v>
      </c>
      <c r="G38" s="35">
        <f>+(G37-'Producción Acero Crudo 2016'!G37)/'Producción Acero Crudo 2016'!G37</f>
        <v>2.5215363870696578E-2</v>
      </c>
      <c r="H38" s="35">
        <f>+(H37-'Producción Acero Crudo 2016'!H37)/'Producción Acero Crudo 2016'!H37</f>
        <v>5.7728142940554318E-2</v>
      </c>
      <c r="I38" s="35">
        <f>+(I37-'Producción Acero Crudo 2016'!I37)/'Producción Acero Crudo 2016'!I37</f>
        <v>1.7705767052095891E-2</v>
      </c>
      <c r="J38" s="35">
        <f>+(J37-'Producción Acero Crudo 2016'!J37)/'Producción Acero Crudo 2016'!J37</f>
        <v>2.0420217154919765E-2</v>
      </c>
      <c r="K38" s="35">
        <f>+(K37-'Producción Acero Crudo 2016'!K37)/'Producción Acero Crudo 2016'!K37</f>
        <v>-7.2739849459821405E-3</v>
      </c>
      <c r="L38" s="35">
        <f>+(L37-'Producción Acero Crudo 2016'!L37)/'Producción Acero Crudo 2016'!L37</f>
        <v>9.125268824637712E-4</v>
      </c>
      <c r="M38" s="35">
        <f>+(M37-'Producción Acero Crudo 2016'!M37)/'Producción Acero Crudo 2016'!M37</f>
        <v>-1.3265831393124936E-2</v>
      </c>
      <c r="N38" s="35">
        <f>+(N37-'Producción Acero Crudo 2016'!N37)/'Producción Acero Crudo 2016'!N37</f>
        <v>-1.0638259204962575E-2</v>
      </c>
      <c r="O38" s="35">
        <f>+(O37-'Producción Acero Crudo 2016'!O37)/'Producción Acero Crudo 2016'!O37</f>
        <v>7.034875761177313E-2</v>
      </c>
      <c r="P38" s="35">
        <f>+(P37-'Producción Acero Crudo 2016'!P37)/'Producción Acero Crudo 2015'!P37</f>
        <v>6.106951724970313E-2</v>
      </c>
      <c r="R38" s="45">
        <f>+(R37-'Producción Acero Crudo 2016'!T37)/'Producción Acero Crudo 2016'!T37</f>
        <v>5.9176424226053903E-2</v>
      </c>
    </row>
    <row r="39" spans="2:20" ht="18" customHeight="1" thickTop="1" thickBot="1">
      <c r="B39" s="260" t="s">
        <v>6</v>
      </c>
      <c r="C39" s="29" t="s">
        <v>13</v>
      </c>
      <c r="D39" s="34"/>
      <c r="E39" s="34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4">
        <f>SUM(D39:O39)</f>
        <v>0</v>
      </c>
    </row>
    <row r="40" spans="2:20" ht="18" customHeight="1" thickTop="1" thickBot="1">
      <c r="B40" s="260"/>
      <c r="C40" s="29" t="s">
        <v>14</v>
      </c>
      <c r="D40" s="30">
        <v>2</v>
      </c>
      <c r="E40" s="30">
        <v>1</v>
      </c>
      <c r="F40" s="30">
        <v>0.6</v>
      </c>
      <c r="G40" s="30">
        <v>1.2</v>
      </c>
      <c r="H40" s="30">
        <v>1.2</v>
      </c>
      <c r="I40" s="30">
        <v>1.5</v>
      </c>
      <c r="J40" s="30">
        <v>2</v>
      </c>
      <c r="K40" s="30">
        <v>3</v>
      </c>
      <c r="L40" s="30">
        <v>2.6</v>
      </c>
      <c r="M40" s="30">
        <v>3</v>
      </c>
      <c r="N40" s="30">
        <v>3.3</v>
      </c>
      <c r="O40" s="30">
        <v>2.9</v>
      </c>
      <c r="P40" s="34">
        <f>SUM(D40:O40)</f>
        <v>24.3</v>
      </c>
    </row>
    <row r="41" spans="2:20" ht="18" customHeight="1" thickTop="1" thickBot="1">
      <c r="B41" s="260"/>
      <c r="C41" s="29" t="s">
        <v>8</v>
      </c>
      <c r="D41" s="30">
        <f>+D39+D40</f>
        <v>2</v>
      </c>
      <c r="E41" s="30">
        <f>+E39+E40</f>
        <v>1</v>
      </c>
      <c r="F41" s="30">
        <f t="shared" ref="F41:O41" si="24">+F39+F40</f>
        <v>0.6</v>
      </c>
      <c r="G41" s="30">
        <f t="shared" si="24"/>
        <v>1.2</v>
      </c>
      <c r="H41" s="30">
        <f t="shared" si="24"/>
        <v>1.2</v>
      </c>
      <c r="I41" s="30">
        <f t="shared" si="24"/>
        <v>1.5</v>
      </c>
      <c r="J41" s="30">
        <f t="shared" si="24"/>
        <v>2</v>
      </c>
      <c r="K41" s="30">
        <f t="shared" si="24"/>
        <v>3</v>
      </c>
      <c r="L41" s="30">
        <f t="shared" si="24"/>
        <v>2.6</v>
      </c>
      <c r="M41" s="30">
        <f t="shared" si="24"/>
        <v>3</v>
      </c>
      <c r="N41" s="30">
        <f t="shared" si="24"/>
        <v>3.3</v>
      </c>
      <c r="O41" s="30">
        <f t="shared" si="24"/>
        <v>2.9</v>
      </c>
      <c r="P41" s="34">
        <f>SUM(D41:O41)</f>
        <v>24.3</v>
      </c>
      <c r="R41" s="66">
        <f t="shared" ref="R41" si="25">+D41+E41+F41+G41+H41+I41+J41+K41+L41+M41+N41+O41</f>
        <v>24.3</v>
      </c>
      <c r="T41" s="66">
        <f t="shared" ref="T41" si="26">+D41</f>
        <v>2</v>
      </c>
    </row>
    <row r="42" spans="2:20" ht="18" customHeight="1" thickTop="1" thickBot="1">
      <c r="B42" s="260"/>
      <c r="C42" s="32" t="s">
        <v>156</v>
      </c>
      <c r="D42" s="37">
        <f>+(D41-'Producción Acero Crudo 2016'!D41)/'Producción Acero Crudo 2016'!D41</f>
        <v>0.76522506619594</v>
      </c>
      <c r="E42" s="37">
        <f>+(E41-'Producción Acero Crudo 2016'!E41)/'Producción Acero Crudo 2016'!E41</f>
        <v>-0.70628527341630121</v>
      </c>
      <c r="F42" s="37">
        <f>+(F41-'Producción Acero Crudo 2016'!F41)/'Producción Acero Crudo 2016'!F41</f>
        <v>-0.83214980203104116</v>
      </c>
      <c r="G42" s="37">
        <f>+(G41-'Producción Acero Crudo 2016'!G41)/'Producción Acero Crudo 2016'!G41</f>
        <v>-0.55622834246965969</v>
      </c>
      <c r="H42" s="37">
        <f>+(H41-'Producción Acero Crudo 2016'!H41)/'Producción Acero Crudo 2016'!H41</f>
        <v>-0.55622834246965969</v>
      </c>
      <c r="I42" s="37">
        <f>+(I41-'Producción Acero Crudo 2016'!I41)/'Producción Acero Crudo 2016'!I41</f>
        <v>-0.625</v>
      </c>
      <c r="J42" s="37">
        <f>+(J41-'Producción Acero Crudo 2016'!J41)/'Producción Acero Crudo 2016'!J41</f>
        <v>-0.33773022271826086</v>
      </c>
      <c r="K42" s="37">
        <f>+(K41-'Producción Acero Crudo 2016'!K41)/'Producción Acero Crudo 2016'!K41</f>
        <v>-6.2659353670676682E-2</v>
      </c>
      <c r="L42" s="37">
        <f>+(L41-'Producción Acero Crudo 2016'!L41)/'Producción Acero Crudo 2016'!L41</f>
        <v>0.30000000000000004</v>
      </c>
      <c r="M42" s="37">
        <f>+(M41-'Producción Acero Crudo 2016'!M41)/'Producción Acero Crudo 2016'!M41</f>
        <v>5.055108223065311E-3</v>
      </c>
      <c r="N42" s="37">
        <f>+(N41-'Producción Acero Crudo 2016'!N41)/'Producción Acero Crudo 2016'!N41</f>
        <v>8.5142779522354661E-2</v>
      </c>
      <c r="O42" s="37">
        <f>+(O41-'Producción Acero Crudo 2016'!O41)/'Producción Acero Crudo 2016'!O41</f>
        <v>1.7797644613218113E-2</v>
      </c>
      <c r="P42" s="35">
        <f>+(P41-'Producción Acero Crudo 2016'!P41)/'Producción Acero Crudo 2015'!P41</f>
        <v>-0.21462843670388182</v>
      </c>
      <c r="R42" s="45">
        <f>+(R41-'Producción Acero Crudo 2016'!T41)/'Producción Acero Crudo 2016'!T41</f>
        <v>-0.2980165974219593</v>
      </c>
    </row>
    <row r="43" spans="2:20" ht="18" customHeight="1" thickTop="1" thickBot="1">
      <c r="B43" s="261" t="s">
        <v>21</v>
      </c>
      <c r="C43" s="29" t="s">
        <v>13</v>
      </c>
      <c r="D43" s="34">
        <v>98.627674999999897</v>
      </c>
      <c r="E43" s="34">
        <v>93.373000000000005</v>
      </c>
      <c r="F43" s="34">
        <v>104.13437999999991</v>
      </c>
      <c r="G43" s="34">
        <v>104.562</v>
      </c>
      <c r="H43" s="34">
        <v>102.325</v>
      </c>
      <c r="I43" s="34">
        <v>96.883849536000199</v>
      </c>
      <c r="J43" s="34">
        <v>101.93698299999988</v>
      </c>
      <c r="K43" s="34">
        <v>86.428817528000096</v>
      </c>
      <c r="L43" s="34">
        <v>98.270488</v>
      </c>
      <c r="M43" s="34">
        <v>106.580741</v>
      </c>
      <c r="N43" s="34">
        <v>101.38626099999989</v>
      </c>
      <c r="O43" s="34">
        <v>112.482164</v>
      </c>
      <c r="P43" s="34">
        <f>SUM(D43:O43)</f>
        <v>1206.9913590639999</v>
      </c>
    </row>
    <row r="44" spans="2:20" ht="18" customHeight="1" thickTop="1" thickBot="1">
      <c r="B44" s="261"/>
      <c r="C44" s="29" t="s">
        <v>14</v>
      </c>
      <c r="D44" s="34"/>
      <c r="E44" s="34"/>
      <c r="F44" s="30"/>
      <c r="G44" s="30"/>
      <c r="H44" s="30"/>
      <c r="I44" s="34"/>
      <c r="J44" s="30"/>
      <c r="K44" s="30"/>
      <c r="L44" s="30"/>
      <c r="M44" s="30"/>
      <c r="N44" s="30"/>
      <c r="O44" s="30"/>
      <c r="P44" s="34">
        <f>SUM(D44:O44)</f>
        <v>0</v>
      </c>
    </row>
    <row r="45" spans="2:20" ht="18" customHeight="1" thickTop="1" thickBot="1">
      <c r="B45" s="261"/>
      <c r="C45" s="29" t="s">
        <v>8</v>
      </c>
      <c r="D45" s="52">
        <f>+D43+D44</f>
        <v>98.627674999999897</v>
      </c>
      <c r="E45" s="52">
        <f>+E43+E44</f>
        <v>93.373000000000005</v>
      </c>
      <c r="F45" s="52">
        <f t="shared" ref="F45:O45" si="27">+F43+F44</f>
        <v>104.13437999999991</v>
      </c>
      <c r="G45" s="52">
        <f t="shared" si="27"/>
        <v>104.562</v>
      </c>
      <c r="H45" s="52">
        <f t="shared" si="27"/>
        <v>102.325</v>
      </c>
      <c r="I45" s="52">
        <f t="shared" si="27"/>
        <v>96.883849536000199</v>
      </c>
      <c r="J45" s="34">
        <f t="shared" si="27"/>
        <v>101.93698299999988</v>
      </c>
      <c r="K45" s="34">
        <f t="shared" si="27"/>
        <v>86.428817528000096</v>
      </c>
      <c r="L45" s="34">
        <f t="shared" si="27"/>
        <v>98.270488</v>
      </c>
      <c r="M45" s="34">
        <f t="shared" si="27"/>
        <v>106.580741</v>
      </c>
      <c r="N45" s="34">
        <f t="shared" si="27"/>
        <v>101.38626099999989</v>
      </c>
      <c r="O45" s="34">
        <f t="shared" si="27"/>
        <v>112.482164</v>
      </c>
      <c r="P45" s="34">
        <f>SUM(D45:O45)</f>
        <v>1206.9913590639999</v>
      </c>
      <c r="R45" s="66">
        <f t="shared" ref="R45" si="28">+D45+E45+F45+G45+H45+I45+J45+K45+L45+M45+N45+O45</f>
        <v>1206.9913590639999</v>
      </c>
      <c r="T45" s="66">
        <f t="shared" ref="T45" si="29">+D45</f>
        <v>98.627674999999897</v>
      </c>
    </row>
    <row r="46" spans="2:20" ht="18" customHeight="1" thickTop="1" thickBot="1">
      <c r="B46" s="261"/>
      <c r="C46" s="32" t="s">
        <v>156</v>
      </c>
      <c r="D46" s="35">
        <f>+(D45-'Producción Acero Crudo 2016'!D45)/'Producción Acero Crudo 2016'!D45</f>
        <v>0.60676209132860182</v>
      </c>
      <c r="E46" s="35">
        <f>+(E45-'Producción Acero Crudo 2016'!E45)/'Producción Acero Crudo 2016'!E45</f>
        <v>3.0164889048505891E-2</v>
      </c>
      <c r="F46" s="35">
        <f>+(F45-'Producción Acero Crudo 2016'!F45)/'Producción Acero Crudo 2016'!F45</f>
        <v>4.2975148719365357E-2</v>
      </c>
      <c r="G46" s="35">
        <f>+(G45-'Producción Acero Crudo 2016'!G45)/'Producción Acero Crudo 2016'!G45</f>
        <v>1.3263840547391855E-2</v>
      </c>
      <c r="H46" s="35">
        <f>+(H45-'Producción Acero Crudo 2016'!H45)/'Producción Acero Crudo 2016'!H45</f>
        <v>3.0524524142144033E-2</v>
      </c>
      <c r="I46" s="35">
        <f>+(I45-'Producción Acero Crudo 2016'!I45)/'Producción Acero Crudo 2016'!I45</f>
        <v>-2.6762837464271161E-3</v>
      </c>
      <c r="J46" s="35">
        <f>+(J45-'Producción Acero Crudo 2016'!J45)/'Producción Acero Crudo 2016'!J45</f>
        <v>-4.1300625826138943E-2</v>
      </c>
      <c r="K46" s="35">
        <f>+(K45-'Producción Acero Crudo 2016'!K45)/'Producción Acero Crudo 2016'!K45</f>
        <v>-0.20501714968782531</v>
      </c>
      <c r="L46" s="35">
        <f>+(L45-'Producción Acero Crudo 2016'!L45)/'Producción Acero Crudo 2016'!L45</f>
        <v>9.2529920740554855E-2</v>
      </c>
      <c r="M46" s="35">
        <f>+(M45-'Producción Acero Crudo 2016'!M45)/'Producción Acero Crudo 2016'!M45</f>
        <v>-4.3370821716838564E-4</v>
      </c>
      <c r="N46" s="35">
        <f>+(N45-'Producción Acero Crudo 2016'!N45)/'Producción Acero Crudo 2016'!N45</f>
        <v>-1.7130136933777768E-2</v>
      </c>
      <c r="O46" s="35">
        <f>+(O45-'Producción Acero Crudo 2016'!O45)/'Producción Acero Crudo 2016'!O45</f>
        <v>0.10156281315357861</v>
      </c>
      <c r="P46" s="35">
        <f>+(P45-'Producción Acero Crudo 2016'!P45)/'Producción Acero Crudo 2015'!P45</f>
        <v>3.5695495789213674E-2</v>
      </c>
      <c r="R46" s="45">
        <f>+(R45-'Producción Acero Crudo 2016'!T45)/'Producción Acero Crudo 2016'!T45</f>
        <v>3.3045020519881341E-2</v>
      </c>
    </row>
    <row r="47" spans="2:20" ht="18" hidden="1" customHeight="1" thickTop="1" thickBot="1">
      <c r="B47" s="261" t="s">
        <v>171</v>
      </c>
      <c r="C47" s="29" t="s">
        <v>13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4">
        <f>SUM(D47:O47)</f>
        <v>0</v>
      </c>
    </row>
    <row r="48" spans="2:20" ht="18" hidden="1" customHeight="1" thickTop="1" thickBot="1">
      <c r="B48" s="261"/>
      <c r="C48" s="29" t="s">
        <v>14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4">
        <f>SUM(D48:O48)</f>
        <v>0</v>
      </c>
    </row>
    <row r="49" spans="2:20" ht="18" hidden="1" customHeight="1" thickTop="1" thickBot="1">
      <c r="B49" s="261"/>
      <c r="C49" s="29" t="s">
        <v>8</v>
      </c>
      <c r="D49" s="30">
        <f t="shared" ref="D49:O49" si="30">+D47+D48</f>
        <v>0</v>
      </c>
      <c r="E49" s="30">
        <f t="shared" si="30"/>
        <v>0</v>
      </c>
      <c r="F49" s="30">
        <f t="shared" si="30"/>
        <v>0</v>
      </c>
      <c r="G49" s="30">
        <f t="shared" si="30"/>
        <v>0</v>
      </c>
      <c r="H49" s="30">
        <f t="shared" si="30"/>
        <v>0</v>
      </c>
      <c r="I49" s="30">
        <f t="shared" si="30"/>
        <v>0</v>
      </c>
      <c r="J49" s="30">
        <f t="shared" si="30"/>
        <v>0</v>
      </c>
      <c r="K49" s="30">
        <f t="shared" si="30"/>
        <v>0</v>
      </c>
      <c r="L49" s="30">
        <f t="shared" si="30"/>
        <v>0</v>
      </c>
      <c r="M49" s="30">
        <f t="shared" si="30"/>
        <v>0</v>
      </c>
      <c r="N49" s="30">
        <f t="shared" si="30"/>
        <v>0</v>
      </c>
      <c r="O49" s="30">
        <f t="shared" si="30"/>
        <v>0</v>
      </c>
      <c r="P49" s="34">
        <f>SUM(D49:O49)</f>
        <v>0</v>
      </c>
      <c r="R49" s="66">
        <f t="shared" ref="R49" si="31">+D49+E49+F49+G49+H49+I49+J49+K49+L49+M49+N49+O49</f>
        <v>0</v>
      </c>
      <c r="T49" s="66">
        <f t="shared" ref="T49" si="32">+D49</f>
        <v>0</v>
      </c>
    </row>
    <row r="50" spans="2:20" ht="18" hidden="1" customHeight="1" thickTop="1" thickBot="1">
      <c r="B50" s="261"/>
      <c r="C50" s="32" t="s">
        <v>156</v>
      </c>
      <c r="D50" s="37">
        <f>+(D49-'Producción Acero Crudo 2016'!D49)/'Producción Acero Crudo 2016'!D49</f>
        <v>-1</v>
      </c>
      <c r="E50" s="37" t="e">
        <f>+(E49-'Producción Acero Crudo 2016'!E49)/'Producción Acero Crudo 2016'!E49</f>
        <v>#DIV/0!</v>
      </c>
      <c r="F50" s="37" t="e">
        <f>+(F49-'Producción Acero Crudo 2016'!F49)/'Producción Acero Crudo 2016'!F49</f>
        <v>#DIV/0!</v>
      </c>
      <c r="G50" s="37" t="e">
        <f>+(G49-'Producción Acero Crudo 2016'!G49)/'Producción Acero Crudo 2016'!G49</f>
        <v>#DIV/0!</v>
      </c>
      <c r="H50" s="37" t="e">
        <f>+(H49-'Producción Acero Crudo 2016'!H49)/'Producción Acero Crudo 2016'!H49</f>
        <v>#DIV/0!</v>
      </c>
      <c r="I50" s="37" t="e">
        <f>+(I49-'Producción Acero Crudo 2016'!I49)/'Producción Acero Crudo 2016'!I49</f>
        <v>#DIV/0!</v>
      </c>
      <c r="J50" s="37" t="e">
        <f>+(J49-'Producción Acero Crudo 2016'!J49)/'Producción Acero Crudo 2016'!J49</f>
        <v>#DIV/0!</v>
      </c>
      <c r="K50" s="37" t="e">
        <f>+(K49-'Producción Acero Crudo 2016'!K49)/'Producción Acero Crudo 2016'!K49</f>
        <v>#DIV/0!</v>
      </c>
      <c r="L50" s="37" t="e">
        <f>+(L49-'Producción Acero Crudo 2016'!L49)/'Producción Acero Crudo 2016'!L49</f>
        <v>#DIV/0!</v>
      </c>
      <c r="M50" s="37" t="e">
        <f>+(M49-'Producción Acero Crudo 2016'!M49)/'Producción Acero Crudo 2016'!M49</f>
        <v>#DIV/0!</v>
      </c>
      <c r="N50" s="37" t="e">
        <f>+(N49-'Producción Acero Crudo 2016'!N49)/'Producción Acero Crudo 2016'!N49</f>
        <v>#DIV/0!</v>
      </c>
      <c r="O50" s="37" t="e">
        <f>+(O49-'Producción Acero Crudo 2016'!O49)/'Producción Acero Crudo 2016'!O49</f>
        <v>#DIV/0!</v>
      </c>
      <c r="P50" s="35">
        <f>+(P49-'Producción Acero Crudo 2016'!S49)/'Producción Acero Crudo 2016'!S49</f>
        <v>-1</v>
      </c>
      <c r="R50" s="45">
        <f>+(R49-'Producción Acero Crudo 2016'!T49)/'Producción Acero Crudo 2016'!T49</f>
        <v>-1</v>
      </c>
    </row>
    <row r="51" spans="2:20" ht="18" customHeight="1" thickTop="1" thickBot="1">
      <c r="B51" s="261" t="s">
        <v>7</v>
      </c>
      <c r="C51" s="29" t="s">
        <v>13</v>
      </c>
      <c r="D51" s="30">
        <v>6</v>
      </c>
      <c r="E51" s="30">
        <v>3</v>
      </c>
      <c r="F51" s="30">
        <v>4</v>
      </c>
      <c r="G51" s="30">
        <v>5</v>
      </c>
      <c r="H51" s="30">
        <v>4</v>
      </c>
      <c r="I51" s="30">
        <v>4.4000000000000004</v>
      </c>
      <c r="J51" s="30">
        <v>5</v>
      </c>
      <c r="K51" s="30">
        <v>5</v>
      </c>
      <c r="L51" s="30">
        <v>5</v>
      </c>
      <c r="M51" s="30">
        <v>5</v>
      </c>
      <c r="N51" s="30">
        <v>6.4</v>
      </c>
      <c r="O51" s="30">
        <v>5</v>
      </c>
      <c r="P51" s="34">
        <f>SUM(D51:O51)</f>
        <v>57.8</v>
      </c>
    </row>
    <row r="52" spans="2:20" ht="18" customHeight="1" thickTop="1" thickBot="1">
      <c r="B52" s="261"/>
      <c r="C52" s="29" t="s">
        <v>14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4">
        <f>SUM(D52:O52)</f>
        <v>0</v>
      </c>
    </row>
    <row r="53" spans="2:20" ht="18" customHeight="1" thickTop="1" thickBot="1">
      <c r="B53" s="261"/>
      <c r="C53" s="29" t="s">
        <v>8</v>
      </c>
      <c r="D53" s="30">
        <f>+D51+D52</f>
        <v>6</v>
      </c>
      <c r="E53" s="30">
        <f>+E51+E52</f>
        <v>3</v>
      </c>
      <c r="F53" s="30">
        <f t="shared" ref="F53:O53" si="33">+F51+F52</f>
        <v>4</v>
      </c>
      <c r="G53" s="30">
        <f t="shared" si="33"/>
        <v>5</v>
      </c>
      <c r="H53" s="30">
        <f t="shared" si="33"/>
        <v>4</v>
      </c>
      <c r="I53" s="30">
        <f t="shared" si="33"/>
        <v>4.4000000000000004</v>
      </c>
      <c r="J53" s="30">
        <f t="shared" si="33"/>
        <v>5</v>
      </c>
      <c r="K53" s="30">
        <f t="shared" si="33"/>
        <v>5</v>
      </c>
      <c r="L53" s="30">
        <f t="shared" si="33"/>
        <v>5</v>
      </c>
      <c r="M53" s="30">
        <f t="shared" si="33"/>
        <v>5</v>
      </c>
      <c r="N53" s="30">
        <f t="shared" si="33"/>
        <v>6.4</v>
      </c>
      <c r="O53" s="30">
        <f t="shared" si="33"/>
        <v>5</v>
      </c>
      <c r="P53" s="34">
        <f>SUM(D53:O53)</f>
        <v>57.8</v>
      </c>
      <c r="R53" s="66">
        <f t="shared" ref="R53" si="34">+D53+E53+F53+G53+H53+I53+J53+K53+L53+M53+N53+O53</f>
        <v>57.8</v>
      </c>
      <c r="T53" s="66">
        <f t="shared" ref="T53" si="35">+D53</f>
        <v>6</v>
      </c>
    </row>
    <row r="54" spans="2:20" ht="18" customHeight="1" thickTop="1" thickBot="1">
      <c r="B54" s="261"/>
      <c r="C54" s="32" t="s">
        <v>156</v>
      </c>
      <c r="D54" s="37">
        <f>+(D53-'Producción Acero Crudo 2016'!D53)/'Producción Acero Crudo 2016'!D53</f>
        <v>4.825242718446602</v>
      </c>
      <c r="E54" s="37">
        <f>+(E53-'Producción Acero Crudo 2016'!E53)/'Producción Acero Crudo 2016'!E53</f>
        <v>-0.57102734717820647</v>
      </c>
      <c r="F54" s="37">
        <f>+(F53-'Producción Acero Crudo 2016'!F53)/'Producción Acero Crudo 2016'!F53</f>
        <v>-0.45527282181359546</v>
      </c>
      <c r="G54" s="37">
        <f>+(G53-'Producción Acero Crudo 2016'!G53)/'Producción Acero Crudo 2016'!G53</f>
        <v>0.24634621144652319</v>
      </c>
      <c r="H54" s="37">
        <f>+(H53-'Producción Acero Crudo 2016'!H53)/'Producción Acero Crudo 2016'!H53</f>
        <v>-0.17433437562059106</v>
      </c>
      <c r="I54" s="37">
        <f>+(I53-'Producción Acero Crudo 2016'!I53)/'Producción Acero Crudo 2016'!I53</f>
        <v>-0.24114644697350412</v>
      </c>
      <c r="J54" s="37">
        <f>+(J53-'Producción Acero Crudo 2016'!J53)/'Producción Acero Crudo 2016'!J53</f>
        <v>-9.0811898701062072E-2</v>
      </c>
      <c r="K54" s="37">
        <f>+(K53-'Producción Acero Crudo 2016'!K53)/'Producción Acero Crudo 2016'!K53</f>
        <v>-9.0811898701062072E-2</v>
      </c>
      <c r="L54" s="37">
        <f>+(L53-'Producción Acero Crudo 2016'!L53)/'Producción Acero Crudo 2016'!L53</f>
        <v>0.25</v>
      </c>
      <c r="M54" s="37">
        <f>+(M53-'Producción Acero Crudo 2016'!M53)/'Producción Acero Crudo 2016'!M53</f>
        <v>-2.5022617466821478E-2</v>
      </c>
      <c r="N54" s="37">
        <f>+(N53-'Producción Acero Crudo 2016'!N53)/'Producción Acero Crudo 2016'!N53</f>
        <v>6.6666666666666721E-2</v>
      </c>
      <c r="O54" s="37">
        <f>+(O53-'Producción Acero Crudo 2016'!O53)/'Producción Acero Crudo 2016'!O53</f>
        <v>-4.3140881037492078E-2</v>
      </c>
      <c r="P54" s="35">
        <f>+(P53-'Producción Acero Crudo 2016'!P53)/'Producción Acero Crudo 2015'!P53</f>
        <v>-3.6669277770301101E-2</v>
      </c>
      <c r="R54" s="45">
        <f>+(R53-'Producción Acero Crudo 2016'!T53)/'Producción Acero Crudo 2016'!T53</f>
        <v>-5.8228199751159046E-2</v>
      </c>
    </row>
    <row r="55" spans="2:20" ht="18" customHeight="1" thickTop="1" thickBot="1">
      <c r="B55" s="261" t="s">
        <v>3</v>
      </c>
      <c r="C55" s="29" t="s">
        <v>13</v>
      </c>
      <c r="D55" s="34">
        <v>27.225000000000001</v>
      </c>
      <c r="E55" s="34">
        <v>36.512911000000003</v>
      </c>
      <c r="F55" s="34">
        <v>48.702574999999996</v>
      </c>
      <c r="G55" s="34">
        <v>60.502000000000002</v>
      </c>
      <c r="H55" s="34">
        <v>52.578859999999999</v>
      </c>
      <c r="I55" s="34">
        <v>30.382801000000001</v>
      </c>
      <c r="J55" s="34">
        <v>9.5250000000000004</v>
      </c>
      <c r="K55" s="34">
        <v>18.968</v>
      </c>
      <c r="L55" s="34">
        <v>69.465000000000003</v>
      </c>
      <c r="M55" s="34">
        <v>22.881</v>
      </c>
      <c r="N55" s="34">
        <v>33.792999999999999</v>
      </c>
      <c r="O55" s="34">
        <v>33.260478000000006</v>
      </c>
      <c r="P55" s="34">
        <f>SUM(D55:O55)</f>
        <v>443.79662500000006</v>
      </c>
    </row>
    <row r="56" spans="2:20" ht="18" customHeight="1" thickTop="1" thickBot="1">
      <c r="B56" s="261"/>
      <c r="C56" s="29" t="s">
        <v>14</v>
      </c>
      <c r="D56" s="34"/>
      <c r="E56" s="3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4">
        <f>SUM(D56:O56)</f>
        <v>0</v>
      </c>
    </row>
    <row r="57" spans="2:20" ht="18" customHeight="1" thickTop="1" thickBot="1">
      <c r="B57" s="261"/>
      <c r="C57" s="29" t="s">
        <v>8</v>
      </c>
      <c r="D57" s="52">
        <f>+D55+D56</f>
        <v>27.225000000000001</v>
      </c>
      <c r="E57" s="52">
        <f>+E55+E56</f>
        <v>36.512911000000003</v>
      </c>
      <c r="F57" s="52">
        <f t="shared" ref="F57:O57" si="36">+F55+F56</f>
        <v>48.702574999999996</v>
      </c>
      <c r="G57" s="52">
        <f t="shared" si="36"/>
        <v>60.502000000000002</v>
      </c>
      <c r="H57" s="52">
        <f t="shared" si="36"/>
        <v>52.578859999999999</v>
      </c>
      <c r="I57" s="52">
        <f t="shared" si="36"/>
        <v>30.382801000000001</v>
      </c>
      <c r="J57" s="34">
        <f t="shared" si="36"/>
        <v>9.5250000000000004</v>
      </c>
      <c r="K57" s="34">
        <f t="shared" si="36"/>
        <v>18.968</v>
      </c>
      <c r="L57" s="34">
        <f t="shared" si="36"/>
        <v>69.465000000000003</v>
      </c>
      <c r="M57" s="34">
        <f t="shared" si="36"/>
        <v>22.881</v>
      </c>
      <c r="N57" s="34">
        <f t="shared" si="36"/>
        <v>33.792999999999999</v>
      </c>
      <c r="O57" s="34">
        <f t="shared" si="36"/>
        <v>33.260478000000006</v>
      </c>
      <c r="P57" s="34">
        <f>SUM(D57:O57)</f>
        <v>443.79662500000006</v>
      </c>
      <c r="R57" s="66">
        <f t="shared" ref="R57" si="37">+D57+E57+F57+G57+H57+I57+J57+K57+L57+M57+N57+O57</f>
        <v>443.79662500000006</v>
      </c>
      <c r="T57" s="66">
        <f t="shared" ref="T57:T61" si="38">+D57</f>
        <v>27.225000000000001</v>
      </c>
    </row>
    <row r="58" spans="2:20" ht="18" customHeight="1" thickTop="1" thickBot="1">
      <c r="B58" s="261"/>
      <c r="C58" s="32" t="s">
        <v>156</v>
      </c>
      <c r="D58" s="35">
        <f>+(D57-'Producción Acero Crudo 2016'!D57)/'Producción Acero Crudo 2016'!D57</f>
        <v>-0.50192612349505483</v>
      </c>
      <c r="E58" s="35">
        <f>+(E57-'Producción Acero Crudo 2016'!E57)/'Producción Acero Crudo 2016'!E57</f>
        <v>0.68588563117554713</v>
      </c>
      <c r="F58" s="35">
        <f>+(F57-'Producción Acero Crudo 2016'!F57)/'Producción Acero Crudo 2016'!F57</f>
        <v>3.8364026812313798</v>
      </c>
      <c r="G58" s="35">
        <f>+(G57-'Producción Acero Crudo 2016'!G57)/'Producción Acero Crudo 2016'!G57</f>
        <v>3.5387846961740439</v>
      </c>
      <c r="H58" s="35">
        <f>+(H57-'Producción Acero Crudo 2016'!H57)/'Producción Acero Crudo 2016'!H57</f>
        <v>2.3858976687157645</v>
      </c>
      <c r="I58" s="35">
        <f>+(I57-'Producción Acero Crudo 2016'!I57)/'Producción Acero Crudo 2016'!I57</f>
        <v>0.16092413727751317</v>
      </c>
      <c r="J58" s="35">
        <f>+(J57-'Producción Acero Crudo 2016'!J57)/'Producción Acero Crudo 2016'!J57</f>
        <v>-0.8000653098605236</v>
      </c>
      <c r="K58" s="35">
        <f>+(K57-'Producción Acero Crudo 2016'!K57)/'Producción Acero Crudo 2016'!K57</f>
        <v>-0.65420935574433947</v>
      </c>
      <c r="L58" s="35">
        <f>+(L57-'Producción Acero Crudo 2016'!L57)/'Producción Acero Crudo 2016'!L57</f>
        <v>-7.9726560947498123E-2</v>
      </c>
      <c r="M58" s="35">
        <f>+(M57-'Producción Acero Crudo 2016'!M57)/'Producción Acero Crudo 2016'!M57</f>
        <v>-0.76682700447989516</v>
      </c>
      <c r="N58" s="35">
        <f>+(N57-'Producción Acero Crudo 2016'!N57)/'Producción Acero Crudo 2016'!N57</f>
        <v>-0.4139976069502489</v>
      </c>
      <c r="O58" s="35">
        <f>+(O57-'Producción Acero Crudo 2016'!O57)/'Producción Acero Crudo 2016'!O57</f>
        <v>-0.57170746345549217</v>
      </c>
      <c r="P58" s="35">
        <f>+(P57-'Producción Acero Crudo 2016'!P57)/'Producción Acero Crudo 2015'!P57</f>
        <v>-8.1065008148238776E-2</v>
      </c>
      <c r="R58" s="45">
        <f>+(R57-'Producción Acero Crudo 2016'!T57)/'Producción Acero Crudo 2016'!T57</f>
        <v>-0.1972571507932428</v>
      </c>
    </row>
    <row r="59" spans="2:20" ht="18" customHeight="1" thickTop="1" thickBot="1">
      <c r="B59" s="261" t="s">
        <v>39</v>
      </c>
      <c r="C59" s="29" t="s">
        <v>13</v>
      </c>
      <c r="D59" s="34">
        <f>+D3+D7+D11+D15+D19+D23+D27+D31+D35+D39+D43+D51+D55</f>
        <v>2258.0059489999994</v>
      </c>
      <c r="E59" s="34">
        <f t="shared" ref="E59:O59" si="39">+E3+E7+E11+E15+E19+E23+E27+E31+E35+E39+E43+E51+E55</f>
        <v>2263.5427709999999</v>
      </c>
      <c r="F59" s="34">
        <f t="shared" si="39"/>
        <v>2386.6392589999996</v>
      </c>
      <c r="G59" s="34">
        <f t="shared" si="39"/>
        <v>2327.6555109999999</v>
      </c>
      <c r="H59" s="34">
        <f t="shared" si="39"/>
        <v>2422.7144119999998</v>
      </c>
      <c r="I59" s="34">
        <f>+I3+I7+I11+I15+I19+I23+I27+I31+I35+I39+I43+I51+I55</f>
        <v>2264.0867585360002</v>
      </c>
      <c r="J59" s="34">
        <f t="shared" si="39"/>
        <v>2388.22667</v>
      </c>
      <c r="K59" s="34">
        <f t="shared" si="39"/>
        <v>2345.105946528</v>
      </c>
      <c r="L59" s="34">
        <f t="shared" si="39"/>
        <v>2306.2356130000003</v>
      </c>
      <c r="M59" s="34">
        <f t="shared" si="39"/>
        <v>2441.4636049999999</v>
      </c>
      <c r="N59" s="34">
        <f t="shared" si="39"/>
        <v>2427.0083420000005</v>
      </c>
      <c r="O59" s="34">
        <f t="shared" si="39"/>
        <v>2157.455226</v>
      </c>
      <c r="P59" s="34">
        <f>SUM(D59:O59)</f>
        <v>27988.140063064006</v>
      </c>
      <c r="T59" s="66">
        <f t="shared" si="38"/>
        <v>2258.0059489999994</v>
      </c>
    </row>
    <row r="60" spans="2:20" ht="18" customHeight="1" thickTop="1" thickBot="1">
      <c r="B60" s="261"/>
      <c r="C60" s="29" t="s">
        <v>14</v>
      </c>
      <c r="D60" s="34">
        <f>+D4+D8+D12+D16+D20+D24+D28+D32+D36+D40+D44+D52+D56</f>
        <v>2870.1918000000001</v>
      </c>
      <c r="E60" s="34">
        <f t="shared" ref="E60:H60" si="40">+E4+E8+E12+E16+E20+E24+E28+E32+E36+E40+E44+E52+E56</f>
        <v>2587.1101000000003</v>
      </c>
      <c r="F60" s="34">
        <f t="shared" si="40"/>
        <v>2913.1664999999998</v>
      </c>
      <c r="G60" s="34">
        <f t="shared" si="40"/>
        <v>2864.7194</v>
      </c>
      <c r="H60" s="34">
        <f t="shared" si="40"/>
        <v>2995.4505999999997</v>
      </c>
      <c r="I60" s="34">
        <f>+I4+I8+I12+I16+I20+I24+I28+I32+I36+I40+I44+I52+I56</f>
        <v>2772.5303989999998</v>
      </c>
      <c r="J60" s="34">
        <f t="shared" ref="J60:O60" si="41">+J4+J8+J12+J16+J20+J24+J28+J32+J36+J40+J44+J52+J56</f>
        <v>2887.6383999999998</v>
      </c>
      <c r="K60" s="34">
        <f t="shared" si="41"/>
        <v>2975.8024000000005</v>
      </c>
      <c r="L60" s="34">
        <f t="shared" si="41"/>
        <v>3027.4225999999999</v>
      </c>
      <c r="M60" s="34">
        <f t="shared" si="41"/>
        <v>3058.7674000000002</v>
      </c>
      <c r="N60" s="34">
        <f t="shared" si="41"/>
        <v>3019.6516999999999</v>
      </c>
      <c r="O60" s="34">
        <f t="shared" si="41"/>
        <v>3015.3712</v>
      </c>
      <c r="P60" s="34">
        <f>SUM(D60:O60)</f>
        <v>34987.822499000002</v>
      </c>
      <c r="T60" s="66">
        <f t="shared" si="38"/>
        <v>2870.1918000000001</v>
      </c>
    </row>
    <row r="61" spans="2:20" ht="18" customHeight="1" thickTop="1" thickBot="1">
      <c r="B61" s="261"/>
      <c r="C61" s="29" t="s">
        <v>8</v>
      </c>
      <c r="D61" s="34">
        <f>+D5+D9+D13+D17+D21+D25+D29+D33+D37+D41+D45+D53+D57</f>
        <v>5221.3945160000003</v>
      </c>
      <c r="E61" s="171">
        <f t="shared" ref="E61:O61" si="42">+E5+E9+E13+E17+E21+E25+E29+E33+E37+E41+E45+E53+E57</f>
        <v>4959.517679999999</v>
      </c>
      <c r="F61" s="171">
        <f t="shared" si="42"/>
        <v>5416.6609871000001</v>
      </c>
      <c r="G61" s="171">
        <f t="shared" si="42"/>
        <v>5297.3519947300001</v>
      </c>
      <c r="H61" s="171">
        <f t="shared" si="42"/>
        <v>5522.9754466699997</v>
      </c>
      <c r="I61" s="171">
        <f t="shared" si="42"/>
        <v>5146.7383465359999</v>
      </c>
      <c r="J61" s="171">
        <f t="shared" si="42"/>
        <v>5389.4410699999989</v>
      </c>
      <c r="K61" s="171">
        <f t="shared" si="42"/>
        <v>5428.359130068</v>
      </c>
      <c r="L61" s="171">
        <f t="shared" si="42"/>
        <v>5422.757114</v>
      </c>
      <c r="M61" s="171">
        <f t="shared" si="42"/>
        <v>5589.3299059999999</v>
      </c>
      <c r="N61" s="171">
        <f t="shared" si="42"/>
        <v>5559.3149487000001</v>
      </c>
      <c r="O61" s="171">
        <f t="shared" si="42"/>
        <v>5274.8798529999995</v>
      </c>
      <c r="P61" s="34">
        <f>SUM(D61:O61)</f>
        <v>64228.720992803988</v>
      </c>
      <c r="R61" s="66">
        <f t="shared" ref="R61" si="43">+D61+E61+F61+G61+H61+I61+J61+K61+L61+M61+N61+O61</f>
        <v>64228.720992803988</v>
      </c>
      <c r="T61" s="66">
        <f t="shared" si="38"/>
        <v>5221.3945160000003</v>
      </c>
    </row>
    <row r="62" spans="2:20" ht="18" customHeight="1" thickTop="1" thickBot="1">
      <c r="B62" s="261"/>
      <c r="C62" s="32" t="s">
        <v>156</v>
      </c>
      <c r="D62" s="35">
        <f>+(D61-'Producción Acero Crudo 2016'!D61)/'Producción Acero Crudo 2016'!D61</f>
        <v>0.11737523593088534</v>
      </c>
      <c r="E62" s="35">
        <f>+(E61-'Producción Acero Crudo 2016'!E61)/'Producción Acero Crudo 2016'!E61</f>
        <v>6.8576326574688803E-2</v>
      </c>
      <c r="F62" s="35">
        <f>+(F61-'Producción Acero Crudo 2016'!F61)/'Producción Acero Crudo 2016'!F61</f>
        <v>0.17039795615022402</v>
      </c>
      <c r="G62" s="35">
        <f>+(G61-'Producción Acero Crudo 2016'!G61)/'Producción Acero Crudo 2016'!G61</f>
        <v>0.16091961285784492</v>
      </c>
      <c r="H62" s="35">
        <f>+(H61-'Producción Acero Crudo 2016'!H61)/'Producción Acero Crudo 2016'!H61</f>
        <v>9.3246341440293187E-2</v>
      </c>
      <c r="I62" s="35">
        <f>+(I61-'Producción Acero Crudo 2016'!I61)/'Producción Acero Crudo 2016'!I61</f>
        <v>2.4308929605064023E-2</v>
      </c>
      <c r="J62" s="35">
        <f>+(J61-'Producción Acero Crudo 2016'!J61)/'Producción Acero Crudo 2016'!J61</f>
        <v>1.674539149368429E-2</v>
      </c>
      <c r="K62" s="35">
        <f>+(K61-'Producción Acero Crudo 2016'!K61)/'Producción Acero Crudo 2016'!K61</f>
        <v>3.1858846920315349E-3</v>
      </c>
      <c r="L62" s="35">
        <f>+(L61-'Producción Acero Crudo 2016'!L61)/'Producción Acero Crudo 2016'!L61</f>
        <v>5.5843159528969614E-2</v>
      </c>
      <c r="M62" s="35">
        <f>+(M61-'Producción Acero Crudo 2016'!M61)/'Producción Acero Crudo 2016'!M61</f>
        <v>1.3274542071989286E-2</v>
      </c>
      <c r="N62" s="35">
        <f>+(N61-'Producción Acero Crudo 2016'!N61)/'Producción Acero Crudo 2016'!N61</f>
        <v>8.8748590115803022E-2</v>
      </c>
      <c r="O62" s="35">
        <f>+(O61-'Producción Acero Crudo 2016'!O61)/'Producción Acero Crudo 2016'!O61</f>
        <v>0.12921175590277498</v>
      </c>
      <c r="P62" s="35">
        <f>+(P61-'Producción Acero Crudo 2016'!P61)/'Producción Acero Crudo 2015'!P61</f>
        <v>7.0759361023051748E-2</v>
      </c>
      <c r="R62" s="45">
        <f>+(R61-'Producción Acero Crudo 2016'!T61)/'Producción Acero Crudo 2016'!T61</f>
        <v>7.5442488733965862E-2</v>
      </c>
    </row>
    <row r="63" spans="2:20" ht="18" customHeight="1" thickTop="1">
      <c r="B63" s="59"/>
      <c r="E63" s="192">
        <f>+E61+D61</f>
        <v>10180.912195999999</v>
      </c>
      <c r="F63" s="192">
        <f>+E63+F61</f>
        <v>15597.573183099999</v>
      </c>
    </row>
    <row r="64" spans="2:20" ht="18" customHeight="1">
      <c r="B64" s="60" t="s">
        <v>19</v>
      </c>
      <c r="C64" s="60" t="s">
        <v>19</v>
      </c>
      <c r="E64" s="191"/>
      <c r="F64" s="191"/>
      <c r="H64" s="45"/>
      <c r="J64" s="45"/>
      <c r="P64" s="66"/>
    </row>
    <row r="65" spans="2:18" ht="18" customHeight="1">
      <c r="B65" s="26" t="s">
        <v>12</v>
      </c>
      <c r="C65" s="26" t="s">
        <v>12</v>
      </c>
    </row>
    <row r="66" spans="2:18" ht="18" customHeight="1">
      <c r="R66" s="58">
        <f>+(E61-D61)/D61</f>
        <v>-5.0154577517084374E-2</v>
      </c>
    </row>
    <row r="67" spans="2:18">
      <c r="B67" s="36" t="s">
        <v>160</v>
      </c>
    </row>
    <row r="68" spans="2:18"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2:18">
      <c r="E69" s="66"/>
    </row>
    <row r="71" spans="2:18">
      <c r="E71" s="66"/>
    </row>
  </sheetData>
  <mergeCells count="15">
    <mergeCell ref="B55:B58"/>
    <mergeCell ref="B59:B62"/>
    <mergeCell ref="B27:B30"/>
    <mergeCell ref="B31:B34"/>
    <mergeCell ref="B35:B38"/>
    <mergeCell ref="B39:B42"/>
    <mergeCell ref="B43:B46"/>
    <mergeCell ref="B51:B54"/>
    <mergeCell ref="B47:B50"/>
    <mergeCell ref="B23:B26"/>
    <mergeCell ref="B3:B6"/>
    <mergeCell ref="B7:B10"/>
    <mergeCell ref="B11:B14"/>
    <mergeCell ref="B15:B18"/>
    <mergeCell ref="B19:B22"/>
  </mergeCells>
  <hyperlinks>
    <hyperlink ref="P1" location="Índice!A1" display="Índice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73"/>
  <sheetViews>
    <sheetView zoomScale="40" zoomScaleNormal="40" zoomScaleSheetLayoutView="90" workbookViewId="0">
      <pane xSplit="3" ySplit="2" topLeftCell="D3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36" customWidth="1"/>
    <col min="2" max="2" width="25.42578125" style="36" customWidth="1"/>
    <col min="3" max="3" width="34.140625" style="36" bestFit="1" customWidth="1"/>
    <col min="4" max="16" width="13.7109375" style="36" customWidth="1"/>
    <col min="17" max="17" width="2.7109375" style="36" customWidth="1"/>
    <col min="18" max="18" width="11.42578125" style="36"/>
    <col min="19" max="19" width="16.85546875" style="36" customWidth="1"/>
    <col min="20" max="16384" width="11.42578125" style="36"/>
  </cols>
  <sheetData>
    <row r="1" spans="1:23" s="38" customFormat="1" ht="38.25" customHeight="1" thickBot="1">
      <c r="A1" s="38" t="s">
        <v>41</v>
      </c>
      <c r="B1" s="22" t="s">
        <v>85</v>
      </c>
      <c r="P1" s="87" t="s">
        <v>111</v>
      </c>
    </row>
    <row r="2" spans="1:23" ht="30" customHeight="1" thickTop="1">
      <c r="B2" s="33" t="s">
        <v>36</v>
      </c>
      <c r="C2" s="21" t="s">
        <v>23</v>
      </c>
      <c r="D2" s="74" t="s">
        <v>27</v>
      </c>
      <c r="E2" s="74" t="s">
        <v>28</v>
      </c>
      <c r="F2" s="74" t="s">
        <v>26</v>
      </c>
      <c r="G2" s="74" t="s">
        <v>22</v>
      </c>
      <c r="H2" s="74" t="s">
        <v>29</v>
      </c>
      <c r="I2" s="74" t="s">
        <v>30</v>
      </c>
      <c r="J2" s="74" t="s">
        <v>31</v>
      </c>
      <c r="K2" s="74" t="s">
        <v>32</v>
      </c>
      <c r="L2" s="74" t="s">
        <v>33</v>
      </c>
      <c r="M2" s="74" t="s">
        <v>24</v>
      </c>
      <c r="N2" s="74" t="s">
        <v>34</v>
      </c>
      <c r="O2" s="74" t="s">
        <v>35</v>
      </c>
      <c r="P2" s="54" t="s">
        <v>25</v>
      </c>
      <c r="S2" s="36" t="s">
        <v>176</v>
      </c>
      <c r="T2" s="36" t="s">
        <v>174</v>
      </c>
    </row>
    <row r="3" spans="1:23" ht="18" customHeight="1" thickBot="1">
      <c r="B3" s="259" t="s">
        <v>0</v>
      </c>
      <c r="C3" s="29" t="s">
        <v>13</v>
      </c>
      <c r="D3" s="34">
        <v>121.813</v>
      </c>
      <c r="E3" s="34">
        <v>154.31200000000001</v>
      </c>
      <c r="F3" s="34">
        <v>121.8</v>
      </c>
      <c r="G3" s="34">
        <v>122.584</v>
      </c>
      <c r="H3" s="34">
        <v>167.47499999999999</v>
      </c>
      <c r="I3" s="34">
        <v>165.39</v>
      </c>
      <c r="J3" s="34">
        <v>154.595</v>
      </c>
      <c r="K3" s="34">
        <v>142.715</v>
      </c>
      <c r="L3" s="34">
        <v>150.23500000000001</v>
      </c>
      <c r="M3" s="34">
        <v>178.899</v>
      </c>
      <c r="N3" s="34">
        <v>170.708</v>
      </c>
      <c r="O3" s="34">
        <v>136.41999999999999</v>
      </c>
      <c r="P3" s="34">
        <f>SUM(D3:O3)</f>
        <v>1786.9459999999999</v>
      </c>
      <c r="V3" s="66">
        <f>+AVERAGE(D3:K3)</f>
        <v>143.8355</v>
      </c>
    </row>
    <row r="4" spans="1:23" ht="18" customHeight="1" thickTop="1" thickBot="1">
      <c r="B4" s="260"/>
      <c r="C4" s="29" t="s">
        <v>14</v>
      </c>
      <c r="D4" s="34">
        <v>207.63800000000001</v>
      </c>
      <c r="E4" s="34">
        <v>184.459</v>
      </c>
      <c r="F4" s="34">
        <v>195.90299999999999</v>
      </c>
      <c r="G4" s="34">
        <v>196.48099999999999</v>
      </c>
      <c r="H4" s="34">
        <v>211.66900000000001</v>
      </c>
      <c r="I4" s="34">
        <v>206.99100000000001</v>
      </c>
      <c r="J4" s="34">
        <v>201.46299999999999</v>
      </c>
      <c r="K4" s="34">
        <v>200.453</v>
      </c>
      <c r="L4" s="34">
        <v>171.87100000000001</v>
      </c>
      <c r="M4" s="34">
        <v>197.74</v>
      </c>
      <c r="N4" s="34">
        <v>188.631</v>
      </c>
      <c r="O4" s="34">
        <v>176.22800000000001</v>
      </c>
      <c r="P4" s="34">
        <f>SUM(D4:O4)</f>
        <v>2339.527</v>
      </c>
      <c r="V4" s="66">
        <f>+AVERAGE(D4:K4)</f>
        <v>200.632125</v>
      </c>
    </row>
    <row r="5" spans="1:23" ht="18" customHeight="1" thickTop="1" thickBot="1">
      <c r="B5" s="260"/>
      <c r="C5" s="29" t="s">
        <v>8</v>
      </c>
      <c r="D5" s="34">
        <f t="shared" ref="D5:O5" si="0">+D3+D4</f>
        <v>329.45100000000002</v>
      </c>
      <c r="E5" s="34">
        <f t="shared" si="0"/>
        <v>338.77100000000002</v>
      </c>
      <c r="F5" s="34">
        <f t="shared" si="0"/>
        <v>317.70299999999997</v>
      </c>
      <c r="G5" s="34">
        <f t="shared" si="0"/>
        <v>319.065</v>
      </c>
      <c r="H5" s="34">
        <f t="shared" si="0"/>
        <v>379.14400000000001</v>
      </c>
      <c r="I5" s="34">
        <f t="shared" si="0"/>
        <v>372.38099999999997</v>
      </c>
      <c r="J5" s="34">
        <f t="shared" si="0"/>
        <v>356.05799999999999</v>
      </c>
      <c r="K5" s="34">
        <f t="shared" si="0"/>
        <v>343.16800000000001</v>
      </c>
      <c r="L5" s="34">
        <f t="shared" si="0"/>
        <v>322.10599999999999</v>
      </c>
      <c r="M5" s="34">
        <f t="shared" si="0"/>
        <v>376.63900000000001</v>
      </c>
      <c r="N5" s="34">
        <f t="shared" si="0"/>
        <v>359.339</v>
      </c>
      <c r="O5" s="34">
        <f t="shared" si="0"/>
        <v>312.64800000000002</v>
      </c>
      <c r="P5" s="34">
        <f>+P4+P3</f>
        <v>4126.473</v>
      </c>
      <c r="S5" s="66">
        <f>+D5+E5+F5+G5+H5+I5+J5+K5+L5+M5+N5+O5</f>
        <v>4126.473</v>
      </c>
      <c r="T5" s="66">
        <f>+D5+E5+F5+G5+H5+I5+J5+K5+L5+M5+N5+O5</f>
        <v>4126.473</v>
      </c>
    </row>
    <row r="6" spans="1:23" ht="18" customHeight="1" thickTop="1" thickBot="1">
      <c r="B6" s="260"/>
      <c r="C6" s="32" t="s">
        <v>81</v>
      </c>
      <c r="D6" s="35">
        <f>+(D5-'Producción Acero Crudo 2015'!D5)/'Producción Acero Crudo 2015'!D5</f>
        <v>-0.14637394641177573</v>
      </c>
      <c r="E6" s="35">
        <f>+(E5-'Producción Acero Crudo 2015'!E5)/'Producción Acero Crudo 2015'!E5</f>
        <v>-0.10066128822450351</v>
      </c>
      <c r="F6" s="35">
        <f>+(F5-'Producción Acero Crudo 2015'!F5)/'Producción Acero Crudo 2015'!F5</f>
        <v>-0.26087563425205373</v>
      </c>
      <c r="G6" s="35">
        <f>+(G5-'Producción Acero Crudo 2015'!G5)/'Producción Acero Crudo 2015'!G5</f>
        <v>-0.16873138819630606</v>
      </c>
      <c r="H6" s="35">
        <f>+(H5-'Producción Acero Crudo 2015'!H5)/'Producción Acero Crudo 2015'!H5</f>
        <v>-7.7295238558790891E-2</v>
      </c>
      <c r="I6" s="35">
        <f>+(I5-'Producción Acero Crudo 2015'!I5)/'Producción Acero Crudo 2015'!I5</f>
        <v>-0.16249617661346907</v>
      </c>
      <c r="J6" s="35">
        <f>+(J5-'Producción Acero Crudo 2015'!J5)/'Producción Acero Crudo 2015'!J5</f>
        <v>-0.17396942792781303</v>
      </c>
      <c r="K6" s="35">
        <f>+(K5-'Producción Acero Crudo 2015'!K5)/'Producción Acero Crudo 2015'!K5</f>
        <v>-0.27525237592397039</v>
      </c>
      <c r="L6" s="35">
        <f>+(L5-'Producción Acero Crudo 2015'!L5)/'Producción Acero Crudo 2015'!L5</f>
        <v>-0.27845415995573586</v>
      </c>
      <c r="M6" s="35">
        <f>+(M5-'Producción Acero Crudo 2015'!M5)/'Producción Acero Crudo 2015'!M5</f>
        <v>-0.19647603971548899</v>
      </c>
      <c r="N6" s="35">
        <f>+(N5-'Producción Acero Crudo 2015'!N5)/'Producción Acero Crudo 2015'!N5</f>
        <v>-0.11247366484142088</v>
      </c>
      <c r="O6" s="35">
        <f>+(O5-'Producción Acero Crudo 2015'!O5)/'Producción Acero Crudo 2015'!O5</f>
        <v>-0.15870709419096507</v>
      </c>
      <c r="P6" s="35">
        <f>+(P5-'Producción Acero Crudo 2015'!P5)/'Producción Acero Crudo 2015'!P5</f>
        <v>-0.17930653583748077</v>
      </c>
      <c r="R6" s="36">
        <f>+(R5-'Producción Acero Crudo 2016'!T29)</f>
        <v>-100.28821794238684</v>
      </c>
      <c r="S6" s="45"/>
    </row>
    <row r="7" spans="1:23" ht="18" customHeight="1" thickTop="1" thickBot="1">
      <c r="B7" s="260" t="s">
        <v>37</v>
      </c>
      <c r="C7" s="29" t="s">
        <v>13</v>
      </c>
      <c r="D7" s="34">
        <v>546</v>
      </c>
      <c r="E7" s="34">
        <v>563</v>
      </c>
      <c r="F7" s="34">
        <v>574</v>
      </c>
      <c r="G7" s="34">
        <v>591</v>
      </c>
      <c r="H7" s="34">
        <v>612</v>
      </c>
      <c r="I7" s="34">
        <v>630</v>
      </c>
      <c r="J7" s="34">
        <v>602</v>
      </c>
      <c r="K7" s="34">
        <v>639</v>
      </c>
      <c r="L7" s="34">
        <v>513</v>
      </c>
      <c r="M7" s="34">
        <v>598</v>
      </c>
      <c r="N7" s="34">
        <v>473</v>
      </c>
      <c r="O7" s="34">
        <v>259</v>
      </c>
      <c r="P7" s="34">
        <f>SUM(D7:O7)</f>
        <v>6600</v>
      </c>
    </row>
    <row r="8" spans="1:23" ht="18" customHeight="1" thickTop="1" thickBot="1">
      <c r="B8" s="260"/>
      <c r="C8" s="29" t="s">
        <v>14</v>
      </c>
      <c r="D8" s="34">
        <v>1951</v>
      </c>
      <c r="E8" s="34">
        <v>1870</v>
      </c>
      <c r="F8" s="34">
        <v>1932</v>
      </c>
      <c r="G8" s="34">
        <v>1709</v>
      </c>
      <c r="H8" s="34">
        <v>1978</v>
      </c>
      <c r="I8" s="34">
        <v>1916</v>
      </c>
      <c r="J8" s="34">
        <v>2202</v>
      </c>
      <c r="K8" s="34">
        <v>2282</v>
      </c>
      <c r="L8" s="34">
        <v>2237</v>
      </c>
      <c r="M8" s="34">
        <v>2334</v>
      </c>
      <c r="N8" s="34">
        <v>2155</v>
      </c>
      <c r="O8" s="34">
        <v>2109</v>
      </c>
      <c r="P8" s="34">
        <f>SUM(D8:O8)</f>
        <v>24675</v>
      </c>
    </row>
    <row r="9" spans="1:23" ht="18" customHeight="1" thickTop="1" thickBot="1">
      <c r="B9" s="260"/>
      <c r="C9" s="29" t="s">
        <v>8</v>
      </c>
      <c r="D9" s="34">
        <f t="shared" ref="D9:J9" si="1">+D7+D8</f>
        <v>2497</v>
      </c>
      <c r="E9" s="34">
        <f t="shared" si="1"/>
        <v>2433</v>
      </c>
      <c r="F9" s="34">
        <f t="shared" si="1"/>
        <v>2506</v>
      </c>
      <c r="G9" s="34">
        <f t="shared" si="1"/>
        <v>2300</v>
      </c>
      <c r="H9" s="34">
        <f t="shared" si="1"/>
        <v>2590</v>
      </c>
      <c r="I9" s="34">
        <f t="shared" si="1"/>
        <v>2546</v>
      </c>
      <c r="J9" s="34">
        <f t="shared" si="1"/>
        <v>2804</v>
      </c>
      <c r="K9" s="34">
        <f>+K7+K8</f>
        <v>2921</v>
      </c>
      <c r="L9" s="34">
        <f>+L7+L8</f>
        <v>2750</v>
      </c>
      <c r="M9" s="34">
        <f>+M7+M8</f>
        <v>2932</v>
      </c>
      <c r="N9" s="34">
        <f>+N7+N8</f>
        <v>2628</v>
      </c>
      <c r="O9" s="34">
        <f>+O7+O8</f>
        <v>2368</v>
      </c>
      <c r="P9" s="34">
        <f>+P8+P7</f>
        <v>31275</v>
      </c>
      <c r="R9" s="45"/>
      <c r="S9" s="66">
        <f t="shared" ref="S9" si="2">+D9+E9+F9+G9+H9+I9+J9+K9+L9+M9+N9+O9</f>
        <v>31275</v>
      </c>
      <c r="T9" s="66">
        <f t="shared" ref="T9" si="3">+D9+E9+F9+G9+H9+I9+J9+K9+L9+M9+N9+O9</f>
        <v>31275</v>
      </c>
    </row>
    <row r="10" spans="1:23" ht="18" customHeight="1" thickTop="1" thickBot="1">
      <c r="B10" s="260"/>
      <c r="C10" s="32" t="s">
        <v>81</v>
      </c>
      <c r="D10" s="35">
        <f>+(D9-'Producción Acero Crudo 2015'!D9)/'Producción Acero Crudo 2015'!D9</f>
        <v>-0.164015028579169</v>
      </c>
      <c r="E10" s="35">
        <f>+(E9-'Producción Acero Crudo 2015'!E9)/'Producción Acero Crudo 2015'!E9</f>
        <v>-8.8012628832272677E-2</v>
      </c>
      <c r="F10" s="35">
        <f>+(F9-'Producción Acero Crudo 2015'!F9)/'Producción Acero Crudo 2015'!F9</f>
        <v>-9.4924701780217322E-2</v>
      </c>
      <c r="G10" s="35">
        <f>+(G9-'Producción Acero Crudo 2015'!G9)/'Producción Acero Crudo 2015'!G9</f>
        <v>-0.20631335625201286</v>
      </c>
      <c r="H10" s="35">
        <f>+(H9-'Producción Acero Crudo 2015'!H9)/'Producción Acero Crudo 2015'!H9</f>
        <v>-0.13200696177335194</v>
      </c>
      <c r="I10" s="35">
        <f>+(I9-'Producción Acero Crudo 2015'!I9)/'Producción Acero Crudo 2015'!I9</f>
        <v>-8.3128087510346213E-2</v>
      </c>
      <c r="J10" s="35">
        <f>+(J9-'Producción Acero Crudo 2015'!J9)/'Producción Acero Crudo 2015'!J9</f>
        <v>-2.5665953324881779E-2</v>
      </c>
      <c r="K10" s="35">
        <f>+(K9-'Producción Acero Crudo 2015'!K9)/'Producción Acero Crudo 2015'!K9</f>
        <v>4.3274013151538643E-2</v>
      </c>
      <c r="L10" s="35">
        <f>+(L9-'Producción Acero Crudo 2015'!L9)/'Producción Acero Crudo 2015'!L9</f>
        <v>9.9230406807586005E-2</v>
      </c>
      <c r="M10" s="35">
        <f>+(M9-'Producción Acero Crudo 2015'!M9)/'Producción Acero Crudo 2015'!M9</f>
        <v>-1.7062151642904203E-2</v>
      </c>
      <c r="N10" s="35">
        <f>+(N9-'Producción Acero Crudo 2015'!N9)/'Producción Acero Crudo 2015'!N9</f>
        <v>3.1087847899947119E-2</v>
      </c>
      <c r="O10" s="35">
        <f>+(O9-'Producción Acero Crudo 2015'!O9)/'Producción Acero Crudo 2015'!O9</f>
        <v>-3.8468800545863914E-2</v>
      </c>
      <c r="P10" s="35">
        <f>+(P9-'Producción Acero Crudo 2015'!P9)/'Producción Acero Crudo 2015'!P9</f>
        <v>-5.9567457321005976E-2</v>
      </c>
      <c r="S10" s="45"/>
      <c r="W10" s="36">
        <f>1076/4</f>
        <v>269</v>
      </c>
    </row>
    <row r="11" spans="1:23" ht="18" customHeight="1" thickTop="1" thickBot="1">
      <c r="B11" s="260" t="s">
        <v>1</v>
      </c>
      <c r="C11" s="29" t="s">
        <v>13</v>
      </c>
      <c r="D11" s="34">
        <v>31.535598999999998</v>
      </c>
      <c r="E11" s="34">
        <v>30.038581999999998</v>
      </c>
      <c r="F11" s="34">
        <v>33.617761999999999</v>
      </c>
      <c r="G11" s="34">
        <v>27.201900000000002</v>
      </c>
      <c r="H11" s="34">
        <v>30.240860000000001</v>
      </c>
      <c r="I11" s="34">
        <v>28.463176000000001</v>
      </c>
      <c r="J11" s="34">
        <v>28.670686</v>
      </c>
      <c r="K11" s="34">
        <v>29.060924</v>
      </c>
      <c r="L11" s="34">
        <v>15.303163</v>
      </c>
      <c r="M11" s="34">
        <v>31.131599999999999</v>
      </c>
      <c r="N11" s="34">
        <v>31.680353</v>
      </c>
      <c r="O11" s="34">
        <v>20.311827000000001</v>
      </c>
      <c r="P11" s="34">
        <f>SUM(D11:O11)</f>
        <v>337.25643200000002</v>
      </c>
    </row>
    <row r="12" spans="1:23" ht="18" customHeight="1" thickTop="1" thickBot="1">
      <c r="B12" s="260"/>
      <c r="C12" s="29" t="s">
        <v>14</v>
      </c>
      <c r="D12" s="34">
        <v>70.355499999999992</v>
      </c>
      <c r="E12" s="34">
        <v>69.428900000000027</v>
      </c>
      <c r="F12" s="34">
        <v>70.941000000000031</v>
      </c>
      <c r="G12" s="34">
        <v>65.156400000000005</v>
      </c>
      <c r="H12" s="34">
        <v>73.161900000000003</v>
      </c>
      <c r="I12" s="34">
        <v>64.949699999999979</v>
      </c>
      <c r="J12" s="34">
        <v>69.752000000000095</v>
      </c>
      <c r="K12" s="34">
        <v>67.864100000000008</v>
      </c>
      <c r="L12" s="34">
        <v>68.528999999999982</v>
      </c>
      <c r="M12" s="34">
        <v>63.448500000000003</v>
      </c>
      <c r="N12" s="34">
        <v>60.828969999999998</v>
      </c>
      <c r="O12" s="34">
        <v>70.839999999999975</v>
      </c>
      <c r="P12" s="34">
        <f>SUM(D12:O12)</f>
        <v>815.25597000000016</v>
      </c>
    </row>
    <row r="13" spans="1:23" ht="18" customHeight="1" thickTop="1" thickBot="1">
      <c r="B13" s="260"/>
      <c r="C13" s="29" t="s">
        <v>8</v>
      </c>
      <c r="D13" s="34">
        <f>+D11+D12</f>
        <v>101.891099</v>
      </c>
      <c r="E13" s="34">
        <f>+E11+E12</f>
        <v>99.467482000000018</v>
      </c>
      <c r="F13" s="34">
        <f>+F11+F12</f>
        <v>104.55876200000003</v>
      </c>
      <c r="G13" s="34">
        <f>+G11+G12</f>
        <v>92.358300000000014</v>
      </c>
      <c r="H13" s="34">
        <f t="shared" ref="H13:N13" si="4">+H11+H12</f>
        <v>103.40276</v>
      </c>
      <c r="I13" s="34">
        <f t="shared" si="4"/>
        <v>93.412875999999983</v>
      </c>
      <c r="J13" s="34">
        <f t="shared" si="4"/>
        <v>98.422686000000098</v>
      </c>
      <c r="K13" s="34">
        <f t="shared" si="4"/>
        <v>96.925024000000008</v>
      </c>
      <c r="L13" s="34">
        <f t="shared" si="4"/>
        <v>83.83216299999998</v>
      </c>
      <c r="M13" s="34">
        <f t="shared" si="4"/>
        <v>94.580100000000002</v>
      </c>
      <c r="N13" s="34">
        <f t="shared" si="4"/>
        <v>92.509322999999995</v>
      </c>
      <c r="O13" s="34">
        <f>+O11+O12</f>
        <v>91.151826999999969</v>
      </c>
      <c r="P13" s="34">
        <f>+P12+P11</f>
        <v>1152.5124020000003</v>
      </c>
      <c r="S13" s="66">
        <f t="shared" ref="S13" si="5">+D13+E13+F13+G13+H13+I13+J13+K13+L13+M13+N13+O13</f>
        <v>1152.5124020000001</v>
      </c>
      <c r="T13" s="66">
        <f t="shared" ref="T13" si="6">+D13+E13+F13+G13+H13+I13+J13+K13+L13+M13+N13+O13</f>
        <v>1152.5124020000001</v>
      </c>
    </row>
    <row r="14" spans="1:23" ht="18" customHeight="1" thickTop="1" thickBot="1">
      <c r="B14" s="260"/>
      <c r="C14" s="32" t="s">
        <v>81</v>
      </c>
      <c r="D14" s="35">
        <f>+(D13-'Producción Acero Crudo 2015'!D13)/'Producción Acero Crudo 2015'!D13</f>
        <v>4.0958490835904374E-2</v>
      </c>
      <c r="E14" s="35">
        <f>+(E13-'Producción Acero Crudo 2015'!E13)/'Producción Acero Crudo 2015'!E13</f>
        <v>5.1264381665028627E-2</v>
      </c>
      <c r="F14" s="35">
        <f>+(F13-'Producción Acero Crudo 2015'!F13)/'Producción Acero Crudo 2015'!F13</f>
        <v>0.25771359491904672</v>
      </c>
      <c r="G14" s="35">
        <f>+(G13-'Producción Acero Crudo 2015'!G13)/'Producción Acero Crudo 2015'!G13</f>
        <v>0.13617217581714638</v>
      </c>
      <c r="H14" s="35">
        <f>+(H13-'Producción Acero Crudo 2015'!H13)/'Producción Acero Crudo 2015'!H13</f>
        <v>0.1482051168162031</v>
      </c>
      <c r="I14" s="35">
        <f>+(I13-'Producción Acero Crudo 2015'!I13)/'Producción Acero Crudo 2015'!I13</f>
        <v>-8.9660718453608897E-3</v>
      </c>
      <c r="J14" s="35">
        <f>+(J13-'Producción Acero Crudo 2015'!J13)/'Producción Acero Crudo 2015'!J13</f>
        <v>3.8049738965354643E-2</v>
      </c>
      <c r="K14" s="35">
        <f>+(K13-'Producción Acero Crudo 2015'!K13)/'Producción Acero Crudo 2015'!K13</f>
        <v>-2.2026234007345484E-2</v>
      </c>
      <c r="L14" s="35">
        <f>+(L13-'Producción Acero Crudo 2015'!L13)/'Producción Acero Crudo 2015'!L13</f>
        <v>4.933175201211619E-2</v>
      </c>
      <c r="M14" s="35">
        <f>+(M13-'Producción Acero Crudo 2015'!M13)/'Producción Acero Crudo 2015'!M13</f>
        <v>-5.0381533765738243E-2</v>
      </c>
      <c r="N14" s="35">
        <f>+(N13-'Producción Acero Crudo 2015'!N13)/'Producción Acero Crudo 2015'!N13</f>
        <v>-8.2412634648574817E-2</v>
      </c>
      <c r="O14" s="35">
        <f>+(O13-'Producción Acero Crudo 2015'!O13)/'Producción Acero Crudo 2015'!O13</f>
        <v>-5.3715227456761674E-2</v>
      </c>
      <c r="P14" s="35">
        <f>+(P13-'Producción Acero Crudo 2015'!P13)/'Producción Acero Crudo 2015'!P13</f>
        <v>3.6625917437794461E-2</v>
      </c>
      <c r="S14" s="45"/>
    </row>
    <row r="15" spans="1:23" ht="18" customHeight="1" thickTop="1" thickBot="1">
      <c r="B15" s="260" t="s">
        <v>2</v>
      </c>
      <c r="C15" s="29" t="s">
        <v>13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0"/>
      <c r="P15" s="34">
        <f>SUM(D15:O15)</f>
        <v>0</v>
      </c>
    </row>
    <row r="16" spans="1:23" ht="18" customHeight="1" thickTop="1" thickBot="1">
      <c r="B16" s="260"/>
      <c r="C16" s="29" t="s">
        <v>14</v>
      </c>
      <c r="O16" s="1"/>
      <c r="P16" s="34">
        <f>SUM(D16:O16)</f>
        <v>0</v>
      </c>
    </row>
    <row r="17" spans="2:20" ht="18" customHeight="1" thickTop="1" thickBot="1">
      <c r="B17" s="260"/>
      <c r="C17" s="29" t="s">
        <v>8</v>
      </c>
      <c r="D17" s="34">
        <v>97.51</v>
      </c>
      <c r="E17" s="34">
        <v>119.866</v>
      </c>
      <c r="F17" s="34">
        <v>114.663</v>
      </c>
      <c r="G17" s="34">
        <v>90.548000000000002</v>
      </c>
      <c r="H17" s="34">
        <v>107.10599999999999</v>
      </c>
      <c r="I17" s="34">
        <v>110.59099999999999</v>
      </c>
      <c r="J17" s="34">
        <v>86.323999999999998</v>
      </c>
      <c r="K17" s="34">
        <v>124.32599999999999</v>
      </c>
      <c r="L17" s="34">
        <v>115.822</v>
      </c>
      <c r="M17" s="34">
        <v>104.008</v>
      </c>
      <c r="N17" s="34">
        <v>103.70399999999999</v>
      </c>
      <c r="O17" s="34">
        <v>97.427000000000007</v>
      </c>
      <c r="P17" s="34">
        <f>SUM(D17:O17)</f>
        <v>1271.8949999999998</v>
      </c>
      <c r="S17" s="66">
        <f t="shared" ref="S17" si="7">+D17+E17+F17+G17+H17+I17+J17+K17+L17+M17+N17+O17</f>
        <v>1271.8949999999998</v>
      </c>
      <c r="T17" s="66">
        <f t="shared" ref="T17" si="8">+D17+E17+F17+G17+H17+I17+J17+K17+L17+M17+N17+O17</f>
        <v>1271.8949999999998</v>
      </c>
    </row>
    <row r="18" spans="2:20" ht="18" customHeight="1" thickTop="1" thickBot="1">
      <c r="B18" s="260"/>
      <c r="C18" s="32" t="s">
        <v>81</v>
      </c>
      <c r="D18" s="35">
        <f>+(D17-'Producción Acero Crudo 2015'!D17)/'Producción Acero Crudo 2015'!D17</f>
        <v>-0.13826929195093499</v>
      </c>
      <c r="E18" s="35">
        <f>+(E17-'Producción Acero Crudo 2015'!E17)/'Producción Acero Crudo 2015'!E17</f>
        <v>5.9298667326522621E-2</v>
      </c>
      <c r="F18" s="35">
        <f>+(F17-'Producción Acero Crudo 2015'!F17)/'Producción Acero Crudo 2015'!F17</f>
        <v>1.331789741595665E-2</v>
      </c>
      <c r="G18" s="35">
        <f>+(G17-'Producción Acero Crudo 2015'!G17)/'Producción Acero Crudo 2015'!G17</f>
        <v>-0.19979497331118104</v>
      </c>
      <c r="H18" s="35">
        <f>+(H17-'Producción Acero Crudo 2015'!H17)/'Producción Acero Crudo 2015'!H17</f>
        <v>-5.3466011523913989E-2</v>
      </c>
      <c r="I18" s="35">
        <f>+(I17-'Producción Acero Crudo 2015'!I17)/'Producción Acero Crudo 2015'!I17</f>
        <v>-2.2667821414684257E-2</v>
      </c>
      <c r="J18" s="35">
        <f>+(J17-'Producción Acero Crudo 2015'!J17)/'Producción Acero Crudo 2015'!J17</f>
        <v>-0.23712397044787734</v>
      </c>
      <c r="K18" s="35">
        <f>+(K17-'Producción Acero Crudo 2015'!K17)/'Producción Acero Crudo 2015'!K17</f>
        <v>9.8713280780515278E-2</v>
      </c>
      <c r="L18" s="35">
        <f>+(L17-'Producción Acero Crudo 2015'!L17)/'Producción Acero Crudo 2015'!L17</f>
        <v>2.3560394499628802E-2</v>
      </c>
      <c r="M18" s="35">
        <f>+(M17-'Producción Acero Crudo 2015'!M17)/'Producción Acero Crudo 2015'!M17</f>
        <v>-8.0844144367068563E-2</v>
      </c>
      <c r="N18" s="35">
        <f>+(N17-'Producción Acero Crudo 2015'!N17)/'Producción Acero Crudo 2015'!N17</f>
        <v>-8.3530700979179293E-2</v>
      </c>
      <c r="O18" s="35">
        <f>+(O17-'Producción Acero Crudo 2015'!O17)/'Producción Acero Crudo 2015'!O17</f>
        <v>-0.13900279260489942</v>
      </c>
      <c r="P18" s="35">
        <f>+(P17-'Producción Acero Crudo 2015'!P17)/'Producción Acero Crudo 2015'!P17</f>
        <v>-6.3317455548092816E-2</v>
      </c>
      <c r="S18" s="45"/>
    </row>
    <row r="19" spans="2:20" ht="18" customHeight="1" thickTop="1" thickBot="1">
      <c r="B19" s="260" t="s">
        <v>9</v>
      </c>
      <c r="C19" s="29" t="s">
        <v>13</v>
      </c>
      <c r="D19" s="30">
        <v>18.372</v>
      </c>
      <c r="E19" s="30">
        <v>12.926500000000001</v>
      </c>
      <c r="F19" s="30">
        <v>28.305430000000001</v>
      </c>
      <c r="G19" s="30">
        <v>19.867976666666667</v>
      </c>
      <c r="H19" s="30">
        <v>19.867976666666667</v>
      </c>
      <c r="I19" s="30">
        <v>20.241970833333333</v>
      </c>
      <c r="J19" s="30">
        <v>20.241970833333333</v>
      </c>
      <c r="K19" s="30">
        <v>21.705065000000001</v>
      </c>
      <c r="L19" s="30">
        <v>20.384992000000004</v>
      </c>
      <c r="M19" s="30">
        <v>20.488395066666669</v>
      </c>
      <c r="N19" s="30">
        <v>20.612478746666671</v>
      </c>
      <c r="O19" s="30">
        <f>+AVERAGE(J19:N19)</f>
        <v>20.686580329333335</v>
      </c>
      <c r="P19" s="34">
        <f>SUM(D19:O19)</f>
        <v>243.70133614266669</v>
      </c>
    </row>
    <row r="20" spans="2:20" ht="18" customHeight="1" thickTop="1" thickBot="1">
      <c r="B20" s="260"/>
      <c r="C20" s="29" t="s">
        <v>14</v>
      </c>
      <c r="D20" s="30">
        <v>0</v>
      </c>
      <c r="E20" s="30">
        <v>0</v>
      </c>
      <c r="F20" s="30">
        <v>0</v>
      </c>
      <c r="G20" s="30">
        <v>0</v>
      </c>
      <c r="H20" s="30"/>
      <c r="I20" s="30"/>
      <c r="J20" s="30"/>
      <c r="K20" s="30">
        <v>0</v>
      </c>
      <c r="L20" s="30"/>
      <c r="M20" s="30"/>
      <c r="N20" s="30"/>
      <c r="O20" s="30">
        <f>+AVERAGE(J20:N20)</f>
        <v>0</v>
      </c>
      <c r="P20" s="34">
        <f>SUM(D20:O20)</f>
        <v>0</v>
      </c>
    </row>
    <row r="21" spans="2:20" ht="18" customHeight="1" thickTop="1" thickBot="1">
      <c r="B21" s="260"/>
      <c r="C21" s="29" t="s">
        <v>8</v>
      </c>
      <c r="D21" s="30">
        <f>+D19+D20</f>
        <v>18.372</v>
      </c>
      <c r="E21" s="30">
        <f t="shared" ref="E21:O21" si="9">+E19+E20</f>
        <v>12.926500000000001</v>
      </c>
      <c r="F21" s="30">
        <f t="shared" si="9"/>
        <v>28.305430000000001</v>
      </c>
      <c r="G21" s="30">
        <f t="shared" si="9"/>
        <v>19.867976666666667</v>
      </c>
      <c r="H21" s="30">
        <f t="shared" si="9"/>
        <v>19.867976666666667</v>
      </c>
      <c r="I21" s="30">
        <f t="shared" si="9"/>
        <v>20.241970833333333</v>
      </c>
      <c r="J21" s="30">
        <f t="shared" si="9"/>
        <v>20.241970833333333</v>
      </c>
      <c r="K21" s="30">
        <f t="shared" si="9"/>
        <v>21.705065000000001</v>
      </c>
      <c r="L21" s="30">
        <f t="shared" si="9"/>
        <v>20.384992000000004</v>
      </c>
      <c r="M21" s="30">
        <f t="shared" si="9"/>
        <v>20.488395066666669</v>
      </c>
      <c r="N21" s="30">
        <f t="shared" si="9"/>
        <v>20.612478746666671</v>
      </c>
      <c r="O21" s="30">
        <f t="shared" si="9"/>
        <v>20.686580329333335</v>
      </c>
      <c r="P21" s="34">
        <f>+P20+P19</f>
        <v>243.70133614266669</v>
      </c>
      <c r="S21" s="66">
        <f t="shared" ref="S21" si="10">+D21+E21+F21+G21+H21+I21+J21+K21+L21+M21+N21+O21</f>
        <v>243.70133614266669</v>
      </c>
      <c r="T21" s="66">
        <f t="shared" ref="T21" si="11">+D21+E21+F21+G21+H21+I21+J21+K21+L21+M21+N21+O21</f>
        <v>243.70133614266669</v>
      </c>
    </row>
    <row r="22" spans="2:20" ht="18" customHeight="1" thickTop="1" thickBot="1">
      <c r="B22" s="260"/>
      <c r="C22" s="32" t="s">
        <v>81</v>
      </c>
      <c r="D22" s="35">
        <f>+(D21-'Producción Acero Crudo 2015'!D21)/'Producción Acero Crudo 2015'!D21</f>
        <v>2.9993833043673271E-2</v>
      </c>
      <c r="E22" s="35">
        <f>+(E21-'Producción Acero Crudo 2015'!E21)/'Producción Acero Crudo 2015'!E21</f>
        <v>3.0000000000000002E-2</v>
      </c>
      <c r="F22" s="35">
        <f>+(F21-'Producción Acero Crudo 2015'!F21)/'Producción Acero Crudo 2015'!F21</f>
        <v>2.9999999999999982E-2</v>
      </c>
      <c r="G22" s="35">
        <f>+(G21-'Producción Acero Crudo 2015'!G21)/'Producción Acero Crudo 2015'!G21</f>
        <v>9.7981578704983058E-2</v>
      </c>
      <c r="H22" s="35">
        <f>+(H21-'Producción Acero Crudo 2015'!H21)/'Producción Acero Crudo 2015'!H21</f>
        <v>-0.16405197683061945</v>
      </c>
      <c r="I22" s="35">
        <f>+(I21-'Producción Acero Crudo 2015'!I21)/'Producción Acero Crudo 2015'!I21</f>
        <v>-0.10035685185185185</v>
      </c>
      <c r="J22" s="35">
        <f>+(J21-'Producción Acero Crudo 2015'!J21)/'Producción Acero Crudo 2015'!J21</f>
        <v>-0.15128004891684144</v>
      </c>
      <c r="K22" s="35">
        <f>+(K21-'Producción Acero Crudo 2015'!K21)/'Producción Acero Crudo 2015'!K21</f>
        <v>-0.1332881443916463</v>
      </c>
      <c r="L22" s="35">
        <f>+(L21-'Producción Acero Crudo 2015'!L21)/'Producción Acero Crudo 2015'!L21</f>
        <v>-0.22475786271154202</v>
      </c>
      <c r="M22" s="35">
        <f>+(M21-'Producción Acero Crudo 2015'!M21)/'Producción Acero Crudo 2015'!M21</f>
        <v>-0.25793570928407572</v>
      </c>
      <c r="N22" s="35">
        <f>+(N21-'Producción Acero Crudo 2015'!N21)/'Producción Acero Crudo 2015'!N21</f>
        <v>-0.28897969138783469</v>
      </c>
      <c r="O22" s="35">
        <f>+(O21-'Producción Acero Crudo 2015'!O21)/'Producción Acero Crudo 2015'!O21</f>
        <v>-0.32041457525186157</v>
      </c>
      <c r="P22" s="35">
        <f>+(P21-'Producción Acero Crudo 2015'!P21)/'Producción Acero Crudo 2015'!P21</f>
        <v>-0.14327831826608262</v>
      </c>
      <c r="S22" s="45"/>
    </row>
    <row r="23" spans="2:20" ht="18" customHeight="1" thickTop="1">
      <c r="B23" s="256" t="s">
        <v>4</v>
      </c>
      <c r="C23" s="29" t="s">
        <v>13</v>
      </c>
      <c r="D23" s="30">
        <v>47.179000000000002</v>
      </c>
      <c r="E23" s="30">
        <v>48.594000000000001</v>
      </c>
      <c r="F23" s="30">
        <v>50.052</v>
      </c>
      <c r="G23" s="30">
        <v>48.608333333333327</v>
      </c>
      <c r="H23" s="30">
        <v>48.608333333333327</v>
      </c>
      <c r="I23" s="30">
        <v>45</v>
      </c>
      <c r="J23" s="30">
        <v>48.067166666666665</v>
      </c>
      <c r="K23" s="30">
        <v>49</v>
      </c>
      <c r="L23" s="30">
        <v>47.856766666666658</v>
      </c>
      <c r="M23" s="30">
        <v>47.706453333333329</v>
      </c>
      <c r="N23" s="30">
        <v>47.526077333333333</v>
      </c>
      <c r="O23" s="30">
        <f>+AVERAGE(J23:N23)</f>
        <v>48.031292799999996</v>
      </c>
      <c r="P23" s="34">
        <f>SUM(D23:O23)</f>
        <v>576.22942346666662</v>
      </c>
    </row>
    <row r="24" spans="2:20" ht="18" customHeight="1">
      <c r="B24" s="257"/>
      <c r="C24" s="29" t="s">
        <v>14</v>
      </c>
      <c r="D24" s="30">
        <v>0</v>
      </c>
      <c r="E24" s="30">
        <v>0</v>
      </c>
      <c r="F24" s="30">
        <v>0</v>
      </c>
      <c r="G24" s="30"/>
      <c r="H24" s="30"/>
      <c r="I24" s="30"/>
      <c r="J24" s="30"/>
      <c r="K24" s="30">
        <f>+AVERAGE(F24:J24)</f>
        <v>0</v>
      </c>
      <c r="L24" s="30"/>
      <c r="M24" s="30"/>
      <c r="N24" s="30"/>
      <c r="O24" s="30">
        <f>+AVERAGE(J24:N24)</f>
        <v>0</v>
      </c>
      <c r="P24" s="34">
        <f>SUM(D24:O24)</f>
        <v>0</v>
      </c>
    </row>
    <row r="25" spans="2:20" ht="18" customHeight="1">
      <c r="B25" s="257"/>
      <c r="C25" s="29" t="s">
        <v>8</v>
      </c>
      <c r="D25" s="30">
        <f>+D23+D24</f>
        <v>47.179000000000002</v>
      </c>
      <c r="E25" s="30">
        <f t="shared" ref="E25:O25" si="12">+E23+E24</f>
        <v>48.594000000000001</v>
      </c>
      <c r="F25" s="30">
        <f t="shared" si="12"/>
        <v>50.052</v>
      </c>
      <c r="G25" s="30">
        <f t="shared" si="12"/>
        <v>48.608333333333327</v>
      </c>
      <c r="H25" s="30">
        <f t="shared" si="12"/>
        <v>48.608333333333327</v>
      </c>
      <c r="I25" s="30">
        <f t="shared" si="12"/>
        <v>45</v>
      </c>
      <c r="J25" s="30">
        <f t="shared" si="12"/>
        <v>48.067166666666665</v>
      </c>
      <c r="K25" s="30">
        <f t="shared" si="12"/>
        <v>49</v>
      </c>
      <c r="L25" s="30">
        <f t="shared" si="12"/>
        <v>47.856766666666658</v>
      </c>
      <c r="M25" s="30">
        <f t="shared" si="12"/>
        <v>47.706453333333329</v>
      </c>
      <c r="N25" s="30">
        <f t="shared" si="12"/>
        <v>47.526077333333333</v>
      </c>
      <c r="O25" s="30">
        <f t="shared" si="12"/>
        <v>48.031292799999996</v>
      </c>
      <c r="P25" s="34">
        <f>+P24+P23</f>
        <v>576.22942346666662</v>
      </c>
      <c r="S25" s="66">
        <f t="shared" ref="S25" si="13">+D25+E25+F25+G25+H25+I25+J25+K25+L25+M25+N25+O25</f>
        <v>576.22942346666662</v>
      </c>
      <c r="T25" s="66">
        <f t="shared" ref="T25" si="14">+D25+E25+F25+G25+H25+I25+J25+K25+L25+M25+N25+O25</f>
        <v>576.22942346666662</v>
      </c>
    </row>
    <row r="26" spans="2:20" ht="18" customHeight="1" thickBot="1">
      <c r="B26" s="258"/>
      <c r="C26" s="32" t="s">
        <v>81</v>
      </c>
      <c r="D26" s="35">
        <f>+(D25-'Producción Acero Crudo 2015'!D25)/'Producción Acero Crudo 2015'!D25</f>
        <v>2.9996725248335385E-2</v>
      </c>
      <c r="E26" s="35">
        <f>+(E25-'Producción Acero Crudo 2015'!E25)/'Producción Acero Crudo 2015'!E25</f>
        <v>-8.1346768247726658E-2</v>
      </c>
      <c r="F26" s="35">
        <f>+(F25-'Producción Acero Crudo 2015'!F25)/'Producción Acero Crudo 2015'!F25</f>
        <v>-0.10520764431413909</v>
      </c>
      <c r="G26" s="35">
        <f>+(G25-'Producción Acero Crudo 2015'!G25)/'Producción Acero Crudo 2015'!G25</f>
        <v>-0.11490862300236111</v>
      </c>
      <c r="H26" s="35">
        <f>+(H25-'Producción Acero Crudo 2015'!H25)/'Producción Acero Crudo 2015'!H25</f>
        <v>-0.12722495541111564</v>
      </c>
      <c r="I26" s="35">
        <f>+(I25-'Producción Acero Crudo 2015'!I25)/'Producción Acero Crudo 2015'!I25</f>
        <v>-0.23049299748627711</v>
      </c>
      <c r="J26" s="35">
        <f>+(J25-'Producción Acero Crudo 2015'!J25)/'Producción Acero Crudo 2015'!J25</f>
        <v>-0.21718537096450227</v>
      </c>
      <c r="K26" s="35">
        <f>+(K25-'Producción Acero Crudo 2015'!K25)/'Producción Acero Crudo 2015'!K25</f>
        <v>-0.23999193460828563</v>
      </c>
      <c r="L26" s="35">
        <f>+(L25-'Producción Acero Crudo 2015'!L25)/'Producción Acero Crudo 2015'!L25</f>
        <v>-0.29307404070096671</v>
      </c>
      <c r="M26" s="35">
        <f>+(M25-'Producción Acero Crudo 2015'!M25)/'Producción Acero Crudo 2015'!M25</f>
        <v>-0.32885324929893178</v>
      </c>
      <c r="N26" s="35">
        <f>+(N25-'Producción Acero Crudo 2015'!N25)/'Producción Acero Crudo 2015'!N25</f>
        <v>-0.36322850456437461</v>
      </c>
      <c r="O26" s="35">
        <f>+(O25-'Producción Acero Crudo 2015'!O25)/'Producción Acero Crudo 2015'!O25</f>
        <v>-0.15235354888351232</v>
      </c>
      <c r="P26" s="35">
        <f>+(P25-'Producción Acero Crudo 2015'!P25)/'Producción Acero Crudo 2015'!P25</f>
        <v>-0.19933250991902088</v>
      </c>
      <c r="S26" s="45"/>
    </row>
    <row r="27" spans="2:20" ht="18" customHeight="1" thickTop="1">
      <c r="B27" s="256" t="s">
        <v>10</v>
      </c>
      <c r="C27" s="29" t="s">
        <v>13</v>
      </c>
      <c r="D27" s="30">
        <v>8.24</v>
      </c>
      <c r="E27" s="30">
        <v>8.4871999999999996</v>
      </c>
      <c r="F27" s="30">
        <v>8.7416099999999997</v>
      </c>
      <c r="G27" s="30">
        <v>8.4896033333333332</v>
      </c>
      <c r="H27" s="30">
        <v>8.5728044444444436</v>
      </c>
      <c r="I27" s="30">
        <v>8.6013392592592588</v>
      </c>
      <c r="J27" s="30">
        <v>8</v>
      </c>
      <c r="K27" s="30">
        <v>8.3913812345679002</v>
      </c>
      <c r="L27" s="30">
        <v>8.3309068312757191</v>
      </c>
      <c r="M27" s="30">
        <v>8</v>
      </c>
      <c r="N27" s="30">
        <v>8.2407626886145398</v>
      </c>
      <c r="O27" s="30">
        <f>+AVERAGE(J27:N27)</f>
        <v>8.1926101508916318</v>
      </c>
      <c r="P27" s="34">
        <f>SUM(D27:O27)</f>
        <v>100.28821794238684</v>
      </c>
    </row>
    <row r="28" spans="2:20" ht="18" customHeight="1">
      <c r="B28" s="257"/>
      <c r="C28" s="29" t="s">
        <v>14</v>
      </c>
      <c r="D28" s="30">
        <v>0</v>
      </c>
      <c r="E28" s="30">
        <v>0</v>
      </c>
      <c r="F28" s="30"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4">
        <f>SUM(D28:O28)</f>
        <v>0</v>
      </c>
    </row>
    <row r="29" spans="2:20" ht="18" customHeight="1">
      <c r="B29" s="257"/>
      <c r="C29" s="29" t="s">
        <v>8</v>
      </c>
      <c r="D29" s="30">
        <f>+D27+D28</f>
        <v>8.24</v>
      </c>
      <c r="E29" s="30">
        <f>+E27+E28</f>
        <v>8.4871999999999996</v>
      </c>
      <c r="F29" s="30">
        <f>+F27+F28</f>
        <v>8.7416099999999997</v>
      </c>
      <c r="G29" s="30">
        <f>+G27+G28</f>
        <v>8.4896033333333332</v>
      </c>
      <c r="H29" s="30">
        <f t="shared" ref="H29:O29" si="15">+H27+H28</f>
        <v>8.5728044444444436</v>
      </c>
      <c r="I29" s="30">
        <f t="shared" si="15"/>
        <v>8.6013392592592588</v>
      </c>
      <c r="J29" s="30">
        <f t="shared" si="15"/>
        <v>8</v>
      </c>
      <c r="K29" s="30">
        <f t="shared" si="15"/>
        <v>8.3913812345679002</v>
      </c>
      <c r="L29" s="30">
        <f t="shared" si="15"/>
        <v>8.3309068312757191</v>
      </c>
      <c r="M29" s="30">
        <f t="shared" si="15"/>
        <v>8</v>
      </c>
      <c r="N29" s="30">
        <f t="shared" si="15"/>
        <v>8.2407626886145398</v>
      </c>
      <c r="O29" s="30">
        <f t="shared" si="15"/>
        <v>8.1926101508916318</v>
      </c>
      <c r="P29" s="34">
        <f>+P28+P27</f>
        <v>100.28821794238684</v>
      </c>
      <c r="S29" s="66">
        <f t="shared" ref="S29" si="16">+D29+E29+F29+G29+H29+I29+J29+K29+L29+M29+N29+O29</f>
        <v>100.28821794238684</v>
      </c>
      <c r="T29" s="66">
        <f t="shared" ref="T29" si="17">+D29+E29+F29+G29+H29+I29+J29+K29+L29+M29+N29+O29</f>
        <v>100.28821794238684</v>
      </c>
    </row>
    <row r="30" spans="2:20" ht="18" customHeight="1" thickBot="1">
      <c r="B30" s="258"/>
      <c r="C30" s="32" t="s">
        <v>81</v>
      </c>
      <c r="D30" s="35">
        <f>+(D29-'Producción Acero Crudo 2015'!D29)/'Producción Acero Crudo 2015'!D29</f>
        <v>3.0000000000000027E-2</v>
      </c>
      <c r="E30" s="35">
        <f>+(E29-'Producción Acero Crudo 2015'!E29)/'Producción Acero Crudo 2015'!E29</f>
        <v>2.999999999999993E-2</v>
      </c>
      <c r="F30" s="35">
        <f>+(F29-'Producción Acero Crudo 2015'!F29)/'Producción Acero Crudo 2015'!F29</f>
        <v>2.9999999999999947E-2</v>
      </c>
      <c r="G30" s="35">
        <f>+(G29-'Producción Acero Crudo 2015'!G29)/'Producción Acero Crudo 2015'!G29</f>
        <v>-4.7289492387685608E-2</v>
      </c>
      <c r="H30" s="35">
        <f>+(H29-'Producción Acero Crudo 2015'!H29)/'Producción Acero Crudo 2015'!H29</f>
        <v>-9.2872653891221429E-2</v>
      </c>
      <c r="I30" s="35">
        <f>+(I29-'Producción Acero Crudo 2015'!I29)/'Producción Acero Crudo 2015'!I29</f>
        <v>-0.13315650605695137</v>
      </c>
      <c r="J30" s="35">
        <f>+(J29-'Producción Acero Crudo 2015'!J29)/'Producción Acero Crudo 2015'!J29</f>
        <v>-0.23217928183789482</v>
      </c>
      <c r="K30" s="35">
        <f>+(K29-'Producción Acero Crudo 2015'!K29)/'Producción Acero Crudo 2015'!K29</f>
        <v>-0.23296338017014587</v>
      </c>
      <c r="L30" s="35">
        <f>+(L29-'Producción Acero Crudo 2015'!L29)/'Producción Acero Crudo 2015'!L29</f>
        <v>-0.27478031967723116</v>
      </c>
      <c r="M30" s="35">
        <f>+(M29-'Producción Acero Crudo 2015'!M29)/'Producción Acero Crudo 2015'!M29</f>
        <v>-0.33672554551235506</v>
      </c>
      <c r="N30" s="35">
        <f>+(N29-'Producción Acero Crudo 2015'!N29)/'Producción Acero Crudo 2015'!N29</f>
        <v>-0.34927459173744285</v>
      </c>
      <c r="O30" s="35">
        <f>+(O29-'Producción Acero Crudo 2015'!O29)/'Producción Acero Crudo 2015'!O29</f>
        <v>-0.38389015371325025</v>
      </c>
      <c r="P30" s="35">
        <f>+(P29-'Producción Acero Crudo 2015'!P29)/'Producción Acero Crudo 2015'!P29</f>
        <v>-0.19044240663220399</v>
      </c>
      <c r="S30" s="45"/>
    </row>
    <row r="31" spans="2:20" ht="18" customHeight="1" thickTop="1" thickBot="1">
      <c r="B31" s="260" t="s">
        <v>11</v>
      </c>
      <c r="C31" s="29" t="s">
        <v>13</v>
      </c>
      <c r="D31" s="30">
        <v>26.78</v>
      </c>
      <c r="E31" s="30">
        <v>27.583400000000001</v>
      </c>
      <c r="F31" s="30">
        <v>28.410489999999999</v>
      </c>
      <c r="G31" s="30">
        <v>25</v>
      </c>
      <c r="H31" s="30">
        <v>26.943472499999999</v>
      </c>
      <c r="I31" s="30">
        <v>26.984340624999998</v>
      </c>
      <c r="J31" s="30">
        <v>24</v>
      </c>
      <c r="K31" s="30">
        <v>26.267660624999998</v>
      </c>
      <c r="L31" s="30">
        <v>25</v>
      </c>
      <c r="M31" s="30">
        <v>25.839094749999997</v>
      </c>
      <c r="N31" s="30">
        <v>25.618219199999999</v>
      </c>
      <c r="O31" s="30">
        <f>+AVERAGE(J31:N31)</f>
        <v>25.344994914999997</v>
      </c>
      <c r="P31" s="34">
        <f>SUM(D31:O31)</f>
        <v>313.77167261499994</v>
      </c>
    </row>
    <row r="32" spans="2:20" ht="18" customHeight="1" thickTop="1" thickBot="1">
      <c r="B32" s="260"/>
      <c r="C32" s="29" t="s">
        <v>14</v>
      </c>
      <c r="D32" s="30">
        <v>0</v>
      </c>
      <c r="E32" s="30">
        <v>0</v>
      </c>
      <c r="F32" s="30">
        <v>0</v>
      </c>
      <c r="G32" s="30"/>
      <c r="H32" s="30"/>
      <c r="I32" s="30"/>
      <c r="J32" s="30"/>
      <c r="K32" s="30">
        <f>+AVERAGE(F32:J32)</f>
        <v>0</v>
      </c>
      <c r="L32" s="30"/>
      <c r="M32" s="30"/>
      <c r="N32" s="30"/>
      <c r="O32" s="30"/>
      <c r="P32" s="34">
        <f>SUM(D32:O32)</f>
        <v>0</v>
      </c>
    </row>
    <row r="33" spans="2:21" ht="18" customHeight="1" thickTop="1" thickBot="1">
      <c r="B33" s="260"/>
      <c r="C33" s="29" t="s">
        <v>8</v>
      </c>
      <c r="D33" s="30">
        <f>+D31+D32</f>
        <v>26.78</v>
      </c>
      <c r="E33" s="30">
        <f t="shared" ref="E33:O33" si="18">+E31+E32</f>
        <v>27.583400000000001</v>
      </c>
      <c r="F33" s="30">
        <f t="shared" si="18"/>
        <v>28.410489999999999</v>
      </c>
      <c r="G33" s="30">
        <f t="shared" si="18"/>
        <v>25</v>
      </c>
      <c r="H33" s="30">
        <f t="shared" si="18"/>
        <v>26.943472499999999</v>
      </c>
      <c r="I33" s="30">
        <f t="shared" si="18"/>
        <v>26.984340624999998</v>
      </c>
      <c r="J33" s="30">
        <f t="shared" si="18"/>
        <v>24</v>
      </c>
      <c r="K33" s="30">
        <f t="shared" si="18"/>
        <v>26.267660624999998</v>
      </c>
      <c r="L33" s="30">
        <f t="shared" si="18"/>
        <v>25</v>
      </c>
      <c r="M33" s="30">
        <f t="shared" si="18"/>
        <v>25.839094749999997</v>
      </c>
      <c r="N33" s="30">
        <f t="shared" si="18"/>
        <v>25.618219199999999</v>
      </c>
      <c r="O33" s="30">
        <f t="shared" si="18"/>
        <v>25.344994914999997</v>
      </c>
      <c r="P33" s="34">
        <f>+P32+P31</f>
        <v>313.77167261499994</v>
      </c>
      <c r="S33" s="66">
        <f t="shared" ref="S33" si="19">+D33+E33+F33+G33+H33+I33+J33+K33+L33+M33+N33+O33</f>
        <v>313.77167261499994</v>
      </c>
      <c r="T33" s="66">
        <f t="shared" ref="T33" si="20">+D33+E33+F33+G33+H33+I33+J33+K33+L33+M33+N33+O33</f>
        <v>313.77167261499994</v>
      </c>
    </row>
    <row r="34" spans="2:21" ht="18" customHeight="1" thickTop="1" thickBot="1">
      <c r="B34" s="260"/>
      <c r="C34" s="32" t="s">
        <v>81</v>
      </c>
      <c r="D34" s="35">
        <f>+(D33-'Producción Acero Crudo 2015'!D33)/'Producción Acero Crudo 2015'!D33</f>
        <v>3.0000000000000044E-2</v>
      </c>
      <c r="E34" s="35">
        <f>+(E33-'Producción Acero Crudo 2015'!E33)/'Producción Acero Crudo 2015'!E33</f>
        <v>2.9999999999999995E-2</v>
      </c>
      <c r="F34" s="35">
        <f>+(F33-'Producción Acero Crudo 2015'!F33)/'Producción Acero Crudo 2015'!F33</f>
        <v>3.0000000000000037E-2</v>
      </c>
      <c r="G34" s="35">
        <f>+(G33-'Producción Acero Crudo 2015'!G33)/'Producción Acero Crudo 2015'!G33</f>
        <v>-0.13679994475519647</v>
      </c>
      <c r="H34" s="35">
        <f>+(H33-'Producción Acero Crudo 2015'!H33)/'Producción Acero Crudo 2015'!H33</f>
        <v>-0.12282640982427356</v>
      </c>
      <c r="I34" s="35">
        <f>+(I33-'Producción Acero Crudo 2015'!I33)/'Producción Acero Crudo 2015'!I33</f>
        <v>-0.1633390650374405</v>
      </c>
      <c r="J34" s="35">
        <f>+(J33-'Producción Acero Crudo 2015'!J33)/'Producción Acero Crudo 2015'!J33</f>
        <v>-0.29130347360013459</v>
      </c>
      <c r="K34" s="35">
        <f>+(K33-'Producción Acero Crudo 2015'!K33)/'Producción Acero Crudo 2015'!K33</f>
        <v>-0.26127668205272575</v>
      </c>
      <c r="L34" s="35">
        <f>+(L33-'Producción Acero Crudo 2015'!L33)/'Producción Acero Crudo 2015'!L33</f>
        <v>-0.33040952097451598</v>
      </c>
      <c r="M34" s="35">
        <f>+(M33-'Producción Acero Crudo 2015'!M33)/'Producción Acero Crudo 2015'!M33</f>
        <v>-0.34089722060267191</v>
      </c>
      <c r="N34" s="35">
        <f>+(N33-'Producción Acero Crudo 2015'!N33)/'Producción Acero Crudo 2015'!N33</f>
        <v>-0.37765447753378012</v>
      </c>
      <c r="O34" s="35">
        <f>+(O33-'Producción Acero Crudo 2015'!O33)/'Producción Acero Crudo 2015'!O33</f>
        <v>-0.41361064961844823</v>
      </c>
      <c r="P34" s="35">
        <f>+(P33-'Producción Acero Crudo 2015'!P33)/'Producción Acero Crudo 2015'!P33</f>
        <v>-0.22071919941403545</v>
      </c>
      <c r="S34" s="45"/>
    </row>
    <row r="35" spans="2:21" ht="18" customHeight="1" thickTop="1" thickBot="1">
      <c r="B35" s="260" t="s">
        <v>20</v>
      </c>
      <c r="C35" s="29" t="s">
        <v>13</v>
      </c>
      <c r="D35" s="34">
        <v>996.08299999999997</v>
      </c>
      <c r="E35" s="34">
        <v>1050.8699999999999</v>
      </c>
      <c r="F35" s="34">
        <v>1005.155</v>
      </c>
      <c r="G35" s="34">
        <v>1188.973</v>
      </c>
      <c r="H35" s="34">
        <v>1270.9639999999999</v>
      </c>
      <c r="I35" s="34">
        <v>1239.6890000000001</v>
      </c>
      <c r="J35" s="34">
        <v>1239.3150000000001</v>
      </c>
      <c r="K35" s="34">
        <v>1259.0630000000001</v>
      </c>
      <c r="L35" s="34">
        <v>1157.617</v>
      </c>
      <c r="M35" s="34">
        <v>1203.8030000000001</v>
      </c>
      <c r="N35" s="34">
        <v>1203.201</v>
      </c>
      <c r="O35" s="34">
        <v>1076.97</v>
      </c>
      <c r="P35" s="34">
        <f>SUM(D35:O35)</f>
        <v>13891.703</v>
      </c>
    </row>
    <row r="36" spans="2:21" ht="18" customHeight="1" thickTop="1" thickBot="1">
      <c r="B36" s="260"/>
      <c r="C36" s="29" t="s">
        <v>14</v>
      </c>
      <c r="D36" s="34">
        <v>397.19799999999998</v>
      </c>
      <c r="E36" s="34">
        <v>378.97800000000001</v>
      </c>
      <c r="F36" s="34">
        <v>343.63</v>
      </c>
      <c r="G36" s="34">
        <v>346.916</v>
      </c>
      <c r="H36" s="34">
        <v>374.923</v>
      </c>
      <c r="I36" s="34">
        <v>428.58100000000002</v>
      </c>
      <c r="J36" s="34">
        <v>453.762</v>
      </c>
      <c r="K36" s="34">
        <v>389.00200000000001</v>
      </c>
      <c r="L36" s="34">
        <v>433.56900000000002</v>
      </c>
      <c r="M36" s="34">
        <v>490.173</v>
      </c>
      <c r="N36" s="34">
        <v>447.53899999999999</v>
      </c>
      <c r="O36" s="34">
        <v>434.99700000000001</v>
      </c>
      <c r="P36" s="34">
        <f>SUM(D36:O36)</f>
        <v>4919.268</v>
      </c>
    </row>
    <row r="37" spans="2:21" ht="18" customHeight="1" thickTop="1" thickBot="1">
      <c r="B37" s="260"/>
      <c r="C37" s="29" t="s">
        <v>8</v>
      </c>
      <c r="D37" s="34">
        <f>+D35+D36</f>
        <v>1393.2809999999999</v>
      </c>
      <c r="E37" s="34">
        <f>+E35+E36</f>
        <v>1429.848</v>
      </c>
      <c r="F37" s="34">
        <f>+F35+F36</f>
        <v>1348.7849999999999</v>
      </c>
      <c r="G37" s="34">
        <f t="shared" ref="G37:O37" si="21">+G35+G36</f>
        <v>1535.8889999999999</v>
      </c>
      <c r="H37" s="34">
        <f t="shared" si="21"/>
        <v>1645.8869999999999</v>
      </c>
      <c r="I37" s="34">
        <f t="shared" si="21"/>
        <v>1668.27</v>
      </c>
      <c r="J37" s="34">
        <f t="shared" si="21"/>
        <v>1693.077</v>
      </c>
      <c r="K37" s="34">
        <f t="shared" si="21"/>
        <v>1648.0650000000001</v>
      </c>
      <c r="L37" s="34">
        <f t="shared" si="21"/>
        <v>1591.1859999999999</v>
      </c>
      <c r="M37" s="34">
        <f t="shared" si="21"/>
        <v>1693.9760000000001</v>
      </c>
      <c r="N37" s="34">
        <f t="shared" si="21"/>
        <v>1650.74</v>
      </c>
      <c r="O37" s="34">
        <f t="shared" si="21"/>
        <v>1511.9670000000001</v>
      </c>
      <c r="P37" s="34">
        <f>+P36+P35</f>
        <v>18810.970999999998</v>
      </c>
      <c r="S37" s="66">
        <f t="shared" ref="S37" si="22">+D37+E37+F37+G37+H37+I37+J37+K37+L37+M37+N37+O37</f>
        <v>18810.971000000001</v>
      </c>
      <c r="T37" s="66">
        <f t="shared" ref="T37" si="23">+D37+E37+F37+G37+H37+I37+J37+K37+L37+M37+N37+O37</f>
        <v>18810.971000000001</v>
      </c>
      <c r="U37" s="66"/>
    </row>
    <row r="38" spans="2:21" ht="18" customHeight="1" thickTop="1" thickBot="1">
      <c r="B38" s="260"/>
      <c r="C38" s="32" t="s">
        <v>81</v>
      </c>
      <c r="D38" s="35">
        <f>+(D37-'Producción Acero Crudo 2015'!D37)/'Producción Acero Crudo 2015'!D37</f>
        <v>-0.14580649828613329</v>
      </c>
      <c r="E38" s="35">
        <f>+(E37-'Producción Acero Crudo 2015'!E37)/'Producción Acero Crudo 2015'!E37</f>
        <v>-3.5738780167556439E-2</v>
      </c>
      <c r="F38" s="35">
        <f>+(F37-'Producción Acero Crudo 2015'!F37)/'Producción Acero Crudo 2015'!F37</f>
        <v>-0.13444211709803863</v>
      </c>
      <c r="G38" s="35">
        <f>+(G37-'Producción Acero Crudo 2015'!G37)/'Producción Acero Crudo 2015'!G37</f>
        <v>9.0494897520861775E-2</v>
      </c>
      <c r="H38" s="35">
        <f>+(H37-'Producción Acero Crudo 2015'!H37)/'Producción Acero Crudo 2015'!H37</f>
        <v>2.2231883846169733E-3</v>
      </c>
      <c r="I38" s="35">
        <f>+(I37-'Producción Acero Crudo 2015'!I37)/'Producción Acero Crudo 2015'!I37</f>
        <v>8.4311037708808281E-2</v>
      </c>
      <c r="J38" s="35">
        <f>+(J37-'Producción Acero Crudo 2015'!J37)/'Producción Acero Crudo 2015'!J37</f>
        <v>0.11607583696936898</v>
      </c>
      <c r="K38" s="35">
        <f>+(K37-'Producción Acero Crudo 2015'!K37)/'Producción Acero Crudo 2015'!K37</f>
        <v>-6.7188480321695512E-3</v>
      </c>
      <c r="L38" s="35">
        <f>+(L37-'Producción Acero Crudo 2015'!L37)/'Producción Acero Crudo 2015'!L37</f>
        <v>-6.0572139744075812E-2</v>
      </c>
      <c r="M38" s="35">
        <f>+(M37-'Producción Acero Crudo 2015'!M37)/'Producción Acero Crudo 2015'!M37</f>
        <v>0.24979507939705023</v>
      </c>
      <c r="N38" s="35">
        <f>+(N37-'Producción Acero Crudo 2015'!N37)/'Producción Acero Crudo 2015'!N37</f>
        <v>0.21015162633780937</v>
      </c>
      <c r="O38" s="35">
        <f>+(O37-'Producción Acero Crudo 2015'!O37)/'Producción Acero Crudo 2015'!O37</f>
        <v>9.8072666108903278E-2</v>
      </c>
      <c r="P38" s="35">
        <f>+(P37-'Producción Acero Crudo 2015'!P37)/'Producción Acero Crudo 2015'!P37</f>
        <v>3.1990662639861486E-2</v>
      </c>
      <c r="S38" s="45"/>
    </row>
    <row r="39" spans="2:21" ht="18" customHeight="1" thickTop="1" thickBot="1">
      <c r="B39" s="260" t="s">
        <v>6</v>
      </c>
      <c r="C39" s="29" t="s">
        <v>13</v>
      </c>
      <c r="D39" s="30">
        <v>0</v>
      </c>
      <c r="E39" s="30">
        <v>0</v>
      </c>
      <c r="F39" s="30">
        <v>0</v>
      </c>
      <c r="G39" s="34"/>
      <c r="H39" s="30"/>
      <c r="I39" s="30"/>
      <c r="J39" s="30"/>
      <c r="K39" s="30">
        <f>+AVERAGE(F39:J39)</f>
        <v>0</v>
      </c>
      <c r="L39" s="30"/>
      <c r="M39" s="30"/>
      <c r="N39" s="30"/>
      <c r="O39" s="30"/>
      <c r="P39" s="34">
        <f>SUM(D39:O39)</f>
        <v>0</v>
      </c>
    </row>
    <row r="40" spans="2:21" ht="18" customHeight="1" thickTop="1" thickBot="1">
      <c r="B40" s="260"/>
      <c r="C40" s="29" t="s">
        <v>14</v>
      </c>
      <c r="D40" s="30">
        <v>1.133</v>
      </c>
      <c r="E40" s="30">
        <v>3.4046641502499999</v>
      </c>
      <c r="F40" s="30">
        <v>3.5746159805600013</v>
      </c>
      <c r="G40" s="30">
        <v>2.7040933769366671</v>
      </c>
      <c r="H40" s="30">
        <v>2.7040933769366671</v>
      </c>
      <c r="I40" s="30">
        <v>4</v>
      </c>
      <c r="J40" s="30">
        <v>3.0199173639010422</v>
      </c>
      <c r="K40" s="30">
        <v>3.200544019666876</v>
      </c>
      <c r="L40" s="30">
        <v>2</v>
      </c>
      <c r="M40" s="30">
        <v>2.9849109521009169</v>
      </c>
      <c r="N40" s="30">
        <v>3.0410744671337673</v>
      </c>
      <c r="O40" s="30">
        <f>+AVERAGE(J40:N40)</f>
        <v>2.8492893605605203</v>
      </c>
      <c r="P40" s="34">
        <f>SUM(D40:O40)</f>
        <v>34.616203048046465</v>
      </c>
    </row>
    <row r="41" spans="2:21" ht="18" customHeight="1" thickTop="1" thickBot="1">
      <c r="B41" s="260"/>
      <c r="C41" s="29" t="s">
        <v>8</v>
      </c>
      <c r="D41" s="30">
        <f>+D39+D40</f>
        <v>1.133</v>
      </c>
      <c r="E41" s="30">
        <f>+E39+E40</f>
        <v>3.4046641502499999</v>
      </c>
      <c r="F41" s="30">
        <f>+F39+F40</f>
        <v>3.5746159805600013</v>
      </c>
      <c r="G41" s="30">
        <f t="shared" ref="G41:O41" si="24">+G39+G40</f>
        <v>2.7040933769366671</v>
      </c>
      <c r="H41" s="30">
        <f t="shared" si="24"/>
        <v>2.7040933769366671</v>
      </c>
      <c r="I41" s="30">
        <f t="shared" si="24"/>
        <v>4</v>
      </c>
      <c r="J41" s="30">
        <f t="shared" si="24"/>
        <v>3.0199173639010422</v>
      </c>
      <c r="K41" s="30">
        <f t="shared" si="24"/>
        <v>3.200544019666876</v>
      </c>
      <c r="L41" s="30">
        <f t="shared" si="24"/>
        <v>2</v>
      </c>
      <c r="M41" s="30">
        <f t="shared" si="24"/>
        <v>2.9849109521009169</v>
      </c>
      <c r="N41" s="30">
        <f t="shared" si="24"/>
        <v>3.0410744671337673</v>
      </c>
      <c r="O41" s="30">
        <f t="shared" si="24"/>
        <v>2.8492893605605203</v>
      </c>
      <c r="P41" s="34">
        <f>+P40+P39</f>
        <v>34.616203048046465</v>
      </c>
      <c r="S41" s="66">
        <f t="shared" ref="S41" si="25">+D41+E41+F41+G41+H41+I41+J41+K41+L41+M41+N41+O41</f>
        <v>34.616203048046465</v>
      </c>
      <c r="T41" s="66">
        <f t="shared" ref="T41" si="26">+D41+E41+F41+G41+H41+I41+J41+K41+L41+M41+N41+O41</f>
        <v>34.616203048046465</v>
      </c>
    </row>
    <row r="42" spans="2:21" ht="18" customHeight="1" thickTop="1" thickBot="1">
      <c r="B42" s="260"/>
      <c r="C42" s="32" t="s">
        <v>81</v>
      </c>
      <c r="D42" s="35">
        <f>+(D41-'Producción Acero Crudo 2015'!D41)/'Producción Acero Crudo 2015'!D41</f>
        <v>2.9999999999999923E-2</v>
      </c>
      <c r="E42" s="35">
        <f>+(E41-'Producción Acero Crudo 2015'!E41)/'Producción Acero Crudo 2015'!E41</f>
        <v>2.9999999999999968E-2</v>
      </c>
      <c r="F42" s="35">
        <f>+(F41-'Producción Acero Crudo 2015'!F41)/'Producción Acero Crudo 2015'!F41</f>
        <v>3.0000000000000086E-2</v>
      </c>
      <c r="G42" s="35">
        <f>+(G41-'Producción Acero Crudo 2015'!G41)/'Producción Acero Crudo 2015'!G41</f>
        <v>-0.25798245876590403</v>
      </c>
      <c r="H42" s="35">
        <f>+(H41-'Producción Acero Crudo 2015'!H41)/'Producción Acero Crudo 2015'!H41</f>
        <v>-0.29336707595211015</v>
      </c>
      <c r="I42" s="35">
        <f>+(I41-'Producción Acero Crudo 2015'!I41)/'Producción Acero Crudo 2015'!I41</f>
        <v>-4.4692310544906877E-3</v>
      </c>
      <c r="J42" s="35">
        <f>+(J41-'Producción Acero Crudo 2015'!J41)/'Producción Acero Crudo 2015'!J41</f>
        <v>-0.28421336764832472</v>
      </c>
      <c r="K42" s="35">
        <f>+(K41-'Producción Acero Crudo 2015'!K41)/'Producción Acero Crudo 2015'!K41</f>
        <v>-0.27751574617889097</v>
      </c>
      <c r="L42" s="35">
        <f>+(L41-'Producción Acero Crudo 2015'!L41)/'Producción Acero Crudo 2015'!L41</f>
        <v>-0.57005324907063215</v>
      </c>
      <c r="M42" s="35">
        <f>+(M41-'Producción Acero Crudo 2015'!M41)/'Producción Acero Crudo 2015'!M41</f>
        <v>-0.38890014279036861</v>
      </c>
      <c r="N42" s="35">
        <f>+(N41-'Producción Acero Crudo 2015'!N41)/'Producción Acero Crudo 2015'!N41</f>
        <v>-0.40711249806789068</v>
      </c>
      <c r="O42" s="35">
        <f>+(O41-'Producción Acero Crudo 2015'!O41)/'Producción Acero Crudo 2015'!O41</f>
        <v>-0.47098734157016492</v>
      </c>
      <c r="P42" s="35">
        <f>+(P41-'Producción Acero Crudo 2015'!P41)/'Producción Acero Crudo 2015'!P41</f>
        <v>-0.27981045834171742</v>
      </c>
      <c r="S42" s="45"/>
    </row>
    <row r="43" spans="2:21" ht="18" customHeight="1" thickTop="1" thickBot="1">
      <c r="B43" s="261" t="s">
        <v>21</v>
      </c>
      <c r="C43" s="29" t="s">
        <v>13</v>
      </c>
      <c r="D43" s="34">
        <v>61.382873999999902</v>
      </c>
      <c r="E43" s="34">
        <v>90.638888000000051</v>
      </c>
      <c r="F43" s="34">
        <v>99.843587000000014</v>
      </c>
      <c r="G43" s="34">
        <v>103.19326104000005</v>
      </c>
      <c r="H43" s="34">
        <v>99.294095000000155</v>
      </c>
      <c r="I43" s="34">
        <v>97.143834000000012</v>
      </c>
      <c r="J43" s="34">
        <v>106.32841300000005</v>
      </c>
      <c r="K43" s="34">
        <v>108.71783899999998</v>
      </c>
      <c r="L43" s="34">
        <v>89.947640000000035</v>
      </c>
      <c r="M43" s="34">
        <v>106.6269860000001</v>
      </c>
      <c r="N43" s="34">
        <v>103.15329099999971</v>
      </c>
      <c r="O43" s="30">
        <f>+AVERAGE(K43:N43)</f>
        <v>102.11143899999996</v>
      </c>
      <c r="P43" s="34">
        <f>SUM(D43:O43)</f>
        <v>1168.3821470400001</v>
      </c>
    </row>
    <row r="44" spans="2:21" ht="18" customHeight="1" thickTop="1" thickBot="1">
      <c r="B44" s="261"/>
      <c r="C44" s="29" t="s">
        <v>14</v>
      </c>
      <c r="D44" s="34">
        <v>0</v>
      </c>
      <c r="E44" s="34">
        <v>0</v>
      </c>
      <c r="F44" s="34">
        <v>0</v>
      </c>
      <c r="G44" s="34"/>
      <c r="H44" s="34"/>
      <c r="I44" s="34"/>
      <c r="J44" s="34"/>
      <c r="K44" s="34"/>
      <c r="L44" s="34"/>
      <c r="M44" s="34"/>
      <c r="N44" s="34"/>
      <c r="O44" s="30"/>
      <c r="P44" s="34">
        <f>SUM(D44:O44)</f>
        <v>0</v>
      </c>
    </row>
    <row r="45" spans="2:21" ht="18" customHeight="1" thickTop="1" thickBot="1">
      <c r="B45" s="261"/>
      <c r="C45" s="29" t="s">
        <v>8</v>
      </c>
      <c r="D45" s="34">
        <f>+D43+D44</f>
        <v>61.382873999999902</v>
      </c>
      <c r="E45" s="34">
        <f>+E43+E44</f>
        <v>90.638888000000051</v>
      </c>
      <c r="F45" s="34">
        <f>+F43+F44</f>
        <v>99.843587000000014</v>
      </c>
      <c r="G45" s="34">
        <f t="shared" ref="G45:O45" si="27">+G43+G44</f>
        <v>103.19326104000005</v>
      </c>
      <c r="H45" s="34">
        <f t="shared" si="27"/>
        <v>99.294095000000155</v>
      </c>
      <c r="I45" s="34">
        <f t="shared" si="27"/>
        <v>97.143834000000012</v>
      </c>
      <c r="J45" s="34">
        <f t="shared" si="27"/>
        <v>106.32841300000005</v>
      </c>
      <c r="K45" s="34">
        <f t="shared" si="27"/>
        <v>108.71783899999998</v>
      </c>
      <c r="L45" s="34">
        <f t="shared" si="27"/>
        <v>89.947640000000035</v>
      </c>
      <c r="M45" s="34">
        <f t="shared" si="27"/>
        <v>106.6269860000001</v>
      </c>
      <c r="N45" s="34">
        <f t="shared" si="27"/>
        <v>103.15329099999971</v>
      </c>
      <c r="O45" s="30">
        <f t="shared" si="27"/>
        <v>102.11143899999996</v>
      </c>
      <c r="P45" s="34">
        <f>+P44+P43</f>
        <v>1168.3821470400001</v>
      </c>
      <c r="S45" s="66">
        <f t="shared" ref="S45" si="28">+D45+E45+F45+G45+H45+I45+J45+K45+L45+M45+N45+O45</f>
        <v>1168.3821470400001</v>
      </c>
      <c r="T45" s="66">
        <f t="shared" ref="T45" si="29">+D45+E45+F45+G45+H45+I45+J45+K45+L45+M45+N45+O45</f>
        <v>1168.3821470400001</v>
      </c>
    </row>
    <row r="46" spans="2:21" ht="18" customHeight="1" thickTop="1" thickBot="1">
      <c r="B46" s="261"/>
      <c r="C46" s="32" t="s">
        <v>81</v>
      </c>
      <c r="D46" s="35">
        <f>+(D45-'Producción Acero Crudo 2015'!D45)/'Producción Acero Crudo 2015'!D45</f>
        <v>-0.28921277458053118</v>
      </c>
      <c r="E46" s="35">
        <f>+(E45-'Producción Acero Crudo 2015'!E45)/'Producción Acero Crudo 2015'!E45</f>
        <v>0.10482682626555723</v>
      </c>
      <c r="F46" s="35">
        <f>+(F45-'Producción Acero Crudo 2015'!F45)/'Producción Acero Crudo 2015'!F45</f>
        <v>8.1201873409497152E-2</v>
      </c>
      <c r="G46" s="35">
        <f>+(G45-'Producción Acero Crudo 2015'!G45)/'Producción Acero Crudo 2015'!G45</f>
        <v>0.15320348933887687</v>
      </c>
      <c r="H46" s="35">
        <f>+(H45-'Producción Acero Crudo 2015'!H45)/'Producción Acero Crudo 2015'!H45</f>
        <v>0.12953570250378421</v>
      </c>
      <c r="I46" s="35">
        <f>+(I45-'Producción Acero Crudo 2015'!I45)/'Producción Acero Crudo 2015'!I45</f>
        <v>4.4523660527079907E-2</v>
      </c>
      <c r="J46" s="35">
        <f>+(J45-'Producción Acero Crudo 2015'!J45)/'Producción Acero Crudo 2015'!J45</f>
        <v>0.16008131491664537</v>
      </c>
      <c r="K46" s="35">
        <f>+(K45-'Producción Acero Crudo 2015'!K45)/'Producción Acero Crudo 2015'!K45</f>
        <v>0.37572240781514932</v>
      </c>
      <c r="L46" s="35">
        <f>+(L45-'Producción Acero Crudo 2015'!L45)/'Producción Acero Crudo 2015'!L45</f>
        <v>-2.7740233910542842E-2</v>
      </c>
      <c r="M46" s="35">
        <f>+(M45-'Producción Acero Crudo 2015'!M45)/'Producción Acero Crudo 2015'!M45</f>
        <v>9.3240093096696508E-2</v>
      </c>
      <c r="N46" s="35">
        <f>+(N45-'Producción Acero Crudo 2015'!N45)/'Producción Acero Crudo 2015'!N45</f>
        <v>8.6750713766471574E-2</v>
      </c>
      <c r="O46" s="35">
        <f>+(O45-'Producción Acero Crudo 2015'!O45)/'Producción Acero Crudo 2015'!O45</f>
        <v>7.6647888066468051E-2</v>
      </c>
      <c r="P46" s="35">
        <f>+(P45-'Producción Acero Crudo 2015'!P45)/'Producción Acero Crudo 2015'!P45</f>
        <v>8.0208007973173859E-2</v>
      </c>
      <c r="S46" s="45"/>
    </row>
    <row r="47" spans="2:21" s="3" customFormat="1" ht="18" customHeight="1" thickTop="1" thickBot="1">
      <c r="B47" s="261" t="s">
        <v>38</v>
      </c>
      <c r="C47" s="29" t="s">
        <v>13</v>
      </c>
      <c r="D47" s="30">
        <v>36.049999999999997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4">
        <f>SUM(D47:O47)</f>
        <v>36.049999999999997</v>
      </c>
      <c r="R47" s="2"/>
      <c r="S47" s="36"/>
      <c r="T47" s="36"/>
    </row>
    <row r="48" spans="2:21" s="3" customFormat="1" ht="18" customHeight="1" thickTop="1" thickBot="1">
      <c r="B48" s="261"/>
      <c r="C48" s="29" t="s">
        <v>14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4">
        <f>SUM(D48:O48)</f>
        <v>0</v>
      </c>
      <c r="R48" s="2"/>
      <c r="S48" s="36"/>
      <c r="T48" s="36"/>
    </row>
    <row r="49" spans="2:21" s="3" customFormat="1" ht="18" customHeight="1" thickTop="1" thickBot="1">
      <c r="B49" s="261"/>
      <c r="C49" s="29" t="s">
        <v>8</v>
      </c>
      <c r="D49" s="30">
        <v>35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4">
        <f>SUM(D49:O49)</f>
        <v>35</v>
      </c>
      <c r="R49" s="7">
        <f>+D49+E49+F49+G49+H49</f>
        <v>35</v>
      </c>
      <c r="S49" s="66">
        <f t="shared" ref="S49" si="30">+D49+E49+F49+G49+H49+I49+J49+K49+L49+M49+N49+O49</f>
        <v>35</v>
      </c>
      <c r="T49" s="66">
        <f t="shared" ref="T49" si="31">+D49+E49+F49+G49+H49+I49+J49+K49+L49+M49+N49+O49</f>
        <v>35</v>
      </c>
    </row>
    <row r="50" spans="2:21" s="3" customFormat="1" ht="18" customHeight="1" thickTop="1" thickBot="1">
      <c r="B50" s="261"/>
      <c r="C50" s="32" t="s">
        <v>67</v>
      </c>
      <c r="D50" s="35">
        <v>-5.7565651040352897E-2</v>
      </c>
      <c r="E50" s="35">
        <v>-7.5509235926873433E-2</v>
      </c>
      <c r="F50" s="35">
        <v>-9.311107172217023E-2</v>
      </c>
      <c r="G50" s="37">
        <v>-9.3108481363736589E-2</v>
      </c>
      <c r="H50" s="37">
        <v>3.0000000000000034E-2</v>
      </c>
      <c r="I50" s="37">
        <v>2.9999999999999985E-2</v>
      </c>
      <c r="J50" s="37">
        <v>2.9999999999999961E-2</v>
      </c>
      <c r="K50" s="37">
        <v>3.0000000000000058E-2</v>
      </c>
      <c r="L50" s="37">
        <v>3.0000000000000086E-2</v>
      </c>
      <c r="M50" s="35">
        <v>2.9999999999999995E-2</v>
      </c>
      <c r="N50" s="35">
        <v>3.0000000000000016E-2</v>
      </c>
      <c r="O50" s="35">
        <v>2.9999999999999992E-2</v>
      </c>
      <c r="P50" s="35">
        <f>(P49-'Producción Acero Crudo 2014'!P49)/'Producción Acero Crudo 2014'!P49</f>
        <v>-0.94079182051058519</v>
      </c>
      <c r="R50" s="2"/>
      <c r="S50" s="45"/>
      <c r="T50" s="36"/>
    </row>
    <row r="51" spans="2:21" ht="18" customHeight="1" thickTop="1" thickBot="1">
      <c r="B51" s="261" t="s">
        <v>7</v>
      </c>
      <c r="C51" s="29" t="s">
        <v>13</v>
      </c>
      <c r="D51" s="30">
        <v>1.03</v>
      </c>
      <c r="E51" s="30">
        <v>6.9934528000000009</v>
      </c>
      <c r="F51" s="30">
        <v>7.3431254399999997</v>
      </c>
      <c r="G51" s="30">
        <v>4.0117264000000006</v>
      </c>
      <c r="H51" s="30">
        <v>4.8445761600000008</v>
      </c>
      <c r="I51" s="30">
        <v>5.7982202000000012</v>
      </c>
      <c r="J51" s="30">
        <v>5.4994120500000001</v>
      </c>
      <c r="K51" s="30">
        <v>5.4994120500000001</v>
      </c>
      <c r="L51" s="30">
        <v>4</v>
      </c>
      <c r="M51" s="30">
        <v>5.1283240920000006</v>
      </c>
      <c r="N51" s="30">
        <v>6</v>
      </c>
      <c r="O51" s="30">
        <f>+AVERAGE(J51:N51)</f>
        <v>5.2254296383999996</v>
      </c>
      <c r="P51" s="34">
        <f>SUM(D51:O51)</f>
        <v>61.37367883040001</v>
      </c>
    </row>
    <row r="52" spans="2:21" ht="18" customHeight="1" thickTop="1" thickBot="1">
      <c r="B52" s="261"/>
      <c r="C52" s="29" t="s">
        <v>14</v>
      </c>
      <c r="D52" s="30">
        <v>0</v>
      </c>
      <c r="E52" s="30">
        <v>0</v>
      </c>
      <c r="F52" s="30">
        <v>0</v>
      </c>
      <c r="G52" s="30"/>
      <c r="H52" s="30"/>
      <c r="I52" s="30"/>
      <c r="J52" s="30"/>
      <c r="K52" s="30">
        <f>+AVERAGE(F52:J52)</f>
        <v>0</v>
      </c>
      <c r="L52" s="30"/>
      <c r="M52" s="30"/>
      <c r="N52" s="30"/>
      <c r="O52" s="30"/>
      <c r="P52" s="34">
        <f>SUM(D52:O52)</f>
        <v>0</v>
      </c>
    </row>
    <row r="53" spans="2:21" ht="18" customHeight="1" thickTop="1" thickBot="1">
      <c r="B53" s="261"/>
      <c r="C53" s="29" t="s">
        <v>8</v>
      </c>
      <c r="D53" s="30">
        <f>+D51+D52</f>
        <v>1.03</v>
      </c>
      <c r="E53" s="30">
        <f>+E51+E52</f>
        <v>6.9934528000000009</v>
      </c>
      <c r="F53" s="30">
        <f>+F51+F52</f>
        <v>7.3431254399999997</v>
      </c>
      <c r="G53" s="30">
        <f t="shared" ref="G53:O53" si="32">+G51+G52</f>
        <v>4.0117264000000006</v>
      </c>
      <c r="H53" s="30">
        <f t="shared" si="32"/>
        <v>4.8445761600000008</v>
      </c>
      <c r="I53" s="30">
        <f t="shared" si="32"/>
        <v>5.7982202000000012</v>
      </c>
      <c r="J53" s="30">
        <f t="shared" si="32"/>
        <v>5.4994120500000001</v>
      </c>
      <c r="K53" s="30">
        <f t="shared" si="32"/>
        <v>5.4994120500000001</v>
      </c>
      <c r="L53" s="30">
        <f t="shared" si="32"/>
        <v>4</v>
      </c>
      <c r="M53" s="30">
        <f t="shared" si="32"/>
        <v>5.1283240920000006</v>
      </c>
      <c r="N53" s="30">
        <f t="shared" si="32"/>
        <v>6</v>
      </c>
      <c r="O53" s="30">
        <f t="shared" si="32"/>
        <v>5.2254296383999996</v>
      </c>
      <c r="P53" s="34">
        <f>+P52+P51</f>
        <v>61.37367883040001</v>
      </c>
      <c r="S53" s="66">
        <f t="shared" ref="S53" si="33">+D53+E53+F53+G53+H53+I53+J53+K53+L53+M53+N53+O53</f>
        <v>61.37367883040001</v>
      </c>
      <c r="T53" s="66">
        <f t="shared" ref="T53" si="34">+D53+E53+F53+G53+H53+I53+J53+K53+L53+M53+N53+O53</f>
        <v>61.37367883040001</v>
      </c>
    </row>
    <row r="54" spans="2:21" ht="18" customHeight="1" thickTop="1" thickBot="1">
      <c r="B54" s="261"/>
      <c r="C54" s="32" t="s">
        <v>81</v>
      </c>
      <c r="D54" s="35">
        <f>+(D53-'Producción Acero Crudo 2015'!D53)/'Producción Acero Crudo 2015'!D53</f>
        <v>3.0000000000000027E-2</v>
      </c>
      <c r="E54" s="35">
        <f>+(E53-'Producción Acero Crudo 2015'!E53)/'Producción Acero Crudo 2015'!E53</f>
        <v>2.9999999999999964E-2</v>
      </c>
      <c r="F54" s="35">
        <f>+(F53-'Producción Acero Crudo 2015'!F53)/'Producción Acero Crudo 2015'!F53</f>
        <v>3.0000000000000013E-2</v>
      </c>
      <c r="G54" s="35">
        <f>+(G53-'Producción Acero Crudo 2015'!G53)/'Producción Acero Crudo 2015'!G53</f>
        <v>-0.46408207295863324</v>
      </c>
      <c r="H54" s="35">
        <f>+(H53-'Producción Acero Crudo 2015'!H53)/'Producción Acero Crudo 2015'!H53</f>
        <v>-0.383658028087068</v>
      </c>
      <c r="I54" s="35">
        <f>+(I53-'Producción Acero Crudo 2015'!I53)/'Producción Acero Crudo 2015'!I53</f>
        <v>-0.29741886607832635</v>
      </c>
      <c r="J54" s="35">
        <f>+(J53-'Producción Acero Crudo 2015'!J53)/'Producción Acero Crudo 2015'!J53</f>
        <v>-0.36536198567937384</v>
      </c>
      <c r="K54" s="35">
        <f>+(K53-'Producción Acero Crudo 2015'!K53)/'Producción Acero Crudo 2015'!K53</f>
        <v>-0.39555465240544846</v>
      </c>
      <c r="L54" s="35">
        <f>+(L53-'Producción Acero Crudo 2015'!L53)/'Producción Acero Crudo 2015'!L53</f>
        <v>-0.58130109533203589</v>
      </c>
      <c r="M54" s="35">
        <f>+(M53-'Producción Acero Crudo 2015'!M53)/'Producción Acero Crudo 2015'!M53</f>
        <v>-0.48874274882799834</v>
      </c>
      <c r="N54" s="35">
        <f>+(N53-'Producción Acero Crudo 2015'!N53)/'Producción Acero Crudo 2015'!N53</f>
        <v>-0.4303409090650156</v>
      </c>
      <c r="O54" s="35">
        <f>+(O53-'Producción Acero Crudo 2015'!O53)/'Producción Acero Crudo 2015'!O53</f>
        <v>-0.5274876630255072</v>
      </c>
      <c r="P54" s="35">
        <f>+(P53-'Producción Acero Crudo 2015'!P53)/'Producción Acero Crudo 2015'!P53</f>
        <v>-0.37024881540200472</v>
      </c>
      <c r="Q54" s="35"/>
      <c r="S54" s="45"/>
    </row>
    <row r="55" spans="2:21" ht="18" customHeight="1" thickTop="1" thickBot="1">
      <c r="B55" s="261" t="s">
        <v>3</v>
      </c>
      <c r="C55" s="29" t="s">
        <v>13</v>
      </c>
      <c r="D55" s="34">
        <v>54.660566000854487</v>
      </c>
      <c r="E55" s="34">
        <v>21.658000000000001</v>
      </c>
      <c r="F55" s="34">
        <v>10.07</v>
      </c>
      <c r="G55" s="34">
        <v>13.33</v>
      </c>
      <c r="H55" s="34">
        <v>15.528780000000001</v>
      </c>
      <c r="I55" s="34">
        <v>26.171220000000002</v>
      </c>
      <c r="J55" s="34">
        <v>47.640556990661622</v>
      </c>
      <c r="K55" s="34">
        <v>54.853999999999999</v>
      </c>
      <c r="L55" s="34">
        <v>75.483000000000004</v>
      </c>
      <c r="M55" s="34">
        <v>98.128858999999991</v>
      </c>
      <c r="N55" s="34">
        <v>57.667000000000002</v>
      </c>
      <c r="O55" s="34">
        <v>77.658317999999994</v>
      </c>
      <c r="P55" s="34">
        <f>SUM(D55:O55)</f>
        <v>552.85029999151607</v>
      </c>
    </row>
    <row r="56" spans="2:21" ht="18" customHeight="1" thickTop="1" thickBot="1">
      <c r="B56" s="261"/>
      <c r="C56" s="29" t="s">
        <v>14</v>
      </c>
      <c r="D56" s="34"/>
      <c r="E56" s="34"/>
      <c r="F56" s="34"/>
      <c r="G56" s="34"/>
      <c r="H56" s="34"/>
      <c r="I56" s="30"/>
      <c r="J56" s="30"/>
      <c r="K56" s="34"/>
      <c r="L56" s="30"/>
      <c r="M56" s="30"/>
      <c r="N56" s="34"/>
      <c r="O56" s="34"/>
      <c r="P56" s="34">
        <f>SUM(D56:O56)</f>
        <v>0</v>
      </c>
    </row>
    <row r="57" spans="2:21" ht="18" customHeight="1" thickTop="1" thickBot="1">
      <c r="B57" s="261"/>
      <c r="C57" s="29" t="s">
        <v>8</v>
      </c>
      <c r="D57" s="34">
        <f>+D55+D56</f>
        <v>54.660566000854487</v>
      </c>
      <c r="E57" s="34">
        <f>+E55+E56</f>
        <v>21.658000000000001</v>
      </c>
      <c r="F57" s="34">
        <f>+F55+F56</f>
        <v>10.07</v>
      </c>
      <c r="G57" s="34">
        <f>+G55+G56</f>
        <v>13.33</v>
      </c>
      <c r="H57" s="34">
        <f t="shared" ref="H57:O57" si="35">+H55+H56</f>
        <v>15.528780000000001</v>
      </c>
      <c r="I57" s="34">
        <f t="shared" si="35"/>
        <v>26.171220000000002</v>
      </c>
      <c r="J57" s="34">
        <f t="shared" si="35"/>
        <v>47.640556990661622</v>
      </c>
      <c r="K57" s="34">
        <f t="shared" si="35"/>
        <v>54.853999999999999</v>
      </c>
      <c r="L57" s="34">
        <f t="shared" si="35"/>
        <v>75.483000000000004</v>
      </c>
      <c r="M57" s="34">
        <f t="shared" si="35"/>
        <v>98.128858999999991</v>
      </c>
      <c r="N57" s="34">
        <f t="shared" si="35"/>
        <v>57.667000000000002</v>
      </c>
      <c r="O57" s="34">
        <f t="shared" si="35"/>
        <v>77.658317999999994</v>
      </c>
      <c r="P57" s="34">
        <f>+P56+P55</f>
        <v>552.85029999151607</v>
      </c>
      <c r="S57" s="66">
        <f t="shared" ref="S57" si="36">+D57+E57+F57+G57+H57+I57+J57+K57+L57+M57+N57+O57</f>
        <v>552.85029999151607</v>
      </c>
      <c r="T57" s="66">
        <f t="shared" ref="T57:T61" si="37">+D57+E57+F57+G57+H57+I57+J57+K57+L57+M57+N57+O57</f>
        <v>552.85029999151607</v>
      </c>
    </row>
    <row r="58" spans="2:21" ht="18" customHeight="1" thickTop="1" thickBot="1">
      <c r="B58" s="261"/>
      <c r="C58" s="32" t="s">
        <v>81</v>
      </c>
      <c r="D58" s="35">
        <f>+(D57-'Producción Acero Crudo 2015'!D57)/'Producción Acero Crudo 2015'!D57</f>
        <v>-0.58360199587983175</v>
      </c>
      <c r="E58" s="35">
        <f>+(E57-'Producción Acero Crudo 2015'!E57)/'Producción Acero Crudo 2015'!E57</f>
        <v>-0.84705990353856686</v>
      </c>
      <c r="F58" s="35">
        <f>+(F57-'Producción Acero Crudo 2015'!F57)/'Producción Acero Crudo 2015'!F57</f>
        <v>-0.94084612944535173</v>
      </c>
      <c r="G58" s="35">
        <f>+(G57-'Producción Acero Crudo 2015'!G57)/'Producción Acero Crudo 2015'!G57</f>
        <v>-0.83503700220280674</v>
      </c>
      <c r="H58" s="35">
        <f>+(H57-'Producción Acero Crudo 2015'!H57)/'Producción Acero Crudo 2015'!H57</f>
        <v>-0.8182939586478043</v>
      </c>
      <c r="I58" s="35">
        <f>+(I57-'Producción Acero Crudo 2015'!I57)/'Producción Acero Crudo 2015'!I57</f>
        <v>-0.78368568523890991</v>
      </c>
      <c r="J58" s="35">
        <f>+(J57-'Producción Acero Crudo 2015'!J57)/'Producción Acero Crudo 2015'!J57</f>
        <v>-0.64819107793272857</v>
      </c>
      <c r="K58" s="35">
        <f>+(K57-'Producción Acero Crudo 2015'!K57)/'Producción Acero Crudo 2015'!K57</f>
        <v>-0.40338474255508905</v>
      </c>
      <c r="L58" s="35">
        <f>+(L57-'Producción Acero Crudo 2015'!L57)/'Producción Acero Crudo 2015'!L57</f>
        <v>-0.19874530284695241</v>
      </c>
      <c r="M58" s="35">
        <f>+(M57-'Producción Acero Crudo 2015'!M57)/'Producción Acero Crudo 2015'!M57</f>
        <v>0.27383829218267236</v>
      </c>
      <c r="N58" s="35">
        <f>+(N57-'Producción Acero Crudo 2015'!N57)/'Producción Acero Crudo 2015'!N57</f>
        <v>-0.42233063199334847</v>
      </c>
      <c r="O58" s="35">
        <f>+(O57-'Producción Acero Crudo 2015'!O57)/'Producción Acero Crudo 2015'!O57</f>
        <v>-0.33322184634406027</v>
      </c>
      <c r="P58" s="35">
        <f>+(P57-'Producción Acero Crudo 2015'!P57)/'Producción Acero Crudo 2015'!P57</f>
        <v>-0.58903893814623765</v>
      </c>
      <c r="S58" s="45"/>
    </row>
    <row r="59" spans="2:21" ht="18" customHeight="1" thickTop="1" thickBot="1">
      <c r="B59" s="261" t="s">
        <v>39</v>
      </c>
      <c r="C59" s="29" t="s">
        <v>13</v>
      </c>
      <c r="D59" s="34">
        <f>+D3+D7+D11+D15+D19+D23+D27+D31+D35+D39+D43+D47+D51+D55</f>
        <v>1949.1260390008542</v>
      </c>
      <c r="E59" s="34">
        <f t="shared" ref="E59:O59" si="38">+E3+E7+E11+E15+E19+E23+E27+E31+E35+E39+E43+E47+E51+E55</f>
        <v>2015.1020228</v>
      </c>
      <c r="F59" s="34">
        <f t="shared" si="38"/>
        <v>1967.3390044400001</v>
      </c>
      <c r="G59" s="34">
        <f t="shared" si="38"/>
        <v>2152.2598007733332</v>
      </c>
      <c r="H59" s="34">
        <f t="shared" si="38"/>
        <v>2304.3398981044447</v>
      </c>
      <c r="I59" s="34">
        <f t="shared" si="38"/>
        <v>2293.4831009175923</v>
      </c>
      <c r="J59" s="34">
        <f t="shared" si="38"/>
        <v>2284.3582055406619</v>
      </c>
      <c r="K59" s="34">
        <f t="shared" si="38"/>
        <v>2344.2742819095679</v>
      </c>
      <c r="L59" s="34">
        <f t="shared" si="38"/>
        <v>2107.1584684979425</v>
      </c>
      <c r="M59" s="34">
        <f t="shared" si="38"/>
        <v>2323.7517122420004</v>
      </c>
      <c r="N59" s="34">
        <f t="shared" si="38"/>
        <v>2147.4071819686142</v>
      </c>
      <c r="O59" s="34">
        <f t="shared" si="38"/>
        <v>1779.9524918336251</v>
      </c>
      <c r="P59" s="34">
        <f>SUM(D59:O59)</f>
        <v>25668.552208028636</v>
      </c>
      <c r="R59" s="66"/>
      <c r="S59" s="66">
        <f t="shared" ref="S59:S61" si="39">+D59+E59+F59+G59+H59+I59+J59+K59+L59+M59+N59+O59</f>
        <v>25668.552208028636</v>
      </c>
      <c r="T59" s="66">
        <f t="shared" si="37"/>
        <v>25668.552208028636</v>
      </c>
      <c r="U59" s="45">
        <f>(P59-'Producción Acero Crudo 2015'!M73)/'Producción Acero Crudo 2015'!M73</f>
        <v>1.284727863539517</v>
      </c>
    </row>
    <row r="60" spans="2:21" ht="18" customHeight="1" thickTop="1" thickBot="1">
      <c r="B60" s="261"/>
      <c r="C60" s="29" t="s">
        <v>14</v>
      </c>
      <c r="D60" s="34">
        <f>+D4+D8+D12+D16+D20+D24+D28+D32+D36+D40+D44+D48+D52+D56</f>
        <v>2627.3244999999997</v>
      </c>
      <c r="E60" s="34">
        <f t="shared" ref="E60:O60" si="40">+E4+E8+E12+E16+E20+E24+E28+E32+E36+E40+E44+E48+E52+E56</f>
        <v>2506.2705641502498</v>
      </c>
      <c r="F60" s="34">
        <f t="shared" si="40"/>
        <v>2546.04861598056</v>
      </c>
      <c r="G60" s="34">
        <f t="shared" si="40"/>
        <v>2320.257493376937</v>
      </c>
      <c r="H60" s="34">
        <f t="shared" si="40"/>
        <v>2640.4579933769364</v>
      </c>
      <c r="I60" s="34">
        <f t="shared" si="40"/>
        <v>2620.5217000000002</v>
      </c>
      <c r="J60" s="34">
        <f t="shared" si="40"/>
        <v>2929.9969173639015</v>
      </c>
      <c r="K60" s="34">
        <f t="shared" si="40"/>
        <v>2942.5196440196669</v>
      </c>
      <c r="L60" s="34">
        <f t="shared" si="40"/>
        <v>2912.9690000000001</v>
      </c>
      <c r="M60" s="34">
        <f t="shared" si="40"/>
        <v>3088.346410952101</v>
      </c>
      <c r="N60" s="34">
        <f t="shared" si="40"/>
        <v>2855.0400444671336</v>
      </c>
      <c r="O60" s="34">
        <f t="shared" si="40"/>
        <v>2793.9142893605604</v>
      </c>
      <c r="P60" s="34">
        <f>SUM(D60:O60)</f>
        <v>32783.667173048045</v>
      </c>
      <c r="R60" s="66"/>
      <c r="S60" s="66">
        <f t="shared" si="39"/>
        <v>32783.667173048045</v>
      </c>
      <c r="T60" s="66">
        <f t="shared" si="37"/>
        <v>32783.667173048045</v>
      </c>
      <c r="U60" s="45">
        <f>(P60-'Producción Acero Crudo 2015'!M74)/'Producción Acero Crudo 2015'!M74</f>
        <v>1.1765176397494663</v>
      </c>
    </row>
    <row r="61" spans="2:21" ht="18" customHeight="1" thickTop="1" thickBot="1">
      <c r="B61" s="261"/>
      <c r="C61" s="29" t="s">
        <v>8</v>
      </c>
      <c r="D61" s="34">
        <f>+D5+D9+D13+D17+D21+D25+D29+D33+D37+D41+D45+D49+D53+D57</f>
        <v>4672.9105390008544</v>
      </c>
      <c r="E61" s="34">
        <f t="shared" ref="E61:O61" si="41">+E5+E9+E13+E17+E21+E25+E29+E33+E37+E41+E45+E49+E53+E57</f>
        <v>4641.2385869502514</v>
      </c>
      <c r="F61" s="34">
        <f t="shared" si="41"/>
        <v>4628.0506204205603</v>
      </c>
      <c r="G61" s="34">
        <f t="shared" si="41"/>
        <v>4563.0652941502703</v>
      </c>
      <c r="H61" s="34">
        <f t="shared" si="41"/>
        <v>5051.9038914813809</v>
      </c>
      <c r="I61" s="34">
        <f t="shared" si="41"/>
        <v>5024.5958009175938</v>
      </c>
      <c r="J61" s="34">
        <f t="shared" si="41"/>
        <v>5300.679122904563</v>
      </c>
      <c r="K61" s="34">
        <f t="shared" si="41"/>
        <v>5411.1199259292353</v>
      </c>
      <c r="L61" s="34">
        <f t="shared" si="41"/>
        <v>5135.9494684979427</v>
      </c>
      <c r="M61" s="34">
        <f t="shared" si="41"/>
        <v>5516.1061231941021</v>
      </c>
      <c r="N61" s="34">
        <f t="shared" si="41"/>
        <v>5106.1512264357489</v>
      </c>
      <c r="O61" s="34">
        <f t="shared" si="41"/>
        <v>4671.2937811941856</v>
      </c>
      <c r="P61" s="34">
        <f>SUM(D61:O61)</f>
        <v>59723.064381076692</v>
      </c>
      <c r="R61" s="66"/>
      <c r="S61" s="66">
        <f t="shared" si="39"/>
        <v>59723.064381076692</v>
      </c>
      <c r="T61" s="66">
        <f t="shared" si="37"/>
        <v>59723.064381076692</v>
      </c>
      <c r="U61" s="45">
        <f>(P61-'Producción Acero Crudo 2015'!M75)/'Producción Acero Crudo 2015'!M75</f>
        <v>1.2232412590534727</v>
      </c>
    </row>
    <row r="62" spans="2:21" ht="18" customHeight="1" thickTop="1" thickBot="1">
      <c r="B62" s="261"/>
      <c r="C62" s="32" t="s">
        <v>81</v>
      </c>
      <c r="D62" s="35">
        <f>+(D61-'Producción Acero Crudo 2015'!D61)/'Producción Acero Crudo 2015'!D61</f>
        <v>-0.16065874964518992</v>
      </c>
      <c r="E62" s="35">
        <f>+(E61-'Producción Acero Crudo 2015'!E61)/'Producción Acero Crudo 2015'!E61</f>
        <v>-9.0909965840293219E-2</v>
      </c>
      <c r="F62" s="35">
        <f>+(F61-'Producción Acero Crudo 2015'!F61)/'Producción Acero Crudo 2015'!F61</f>
        <v>-0.14025337126241311</v>
      </c>
      <c r="G62" s="35">
        <f>+(G61-'Producción Acero Crudo 2015'!G61)/'Producción Acero Crudo 2015'!G61</f>
        <v>-0.12515774043495254</v>
      </c>
      <c r="H62" s="35">
        <f>+(H61-'Producción Acero Crudo 2015'!H61)/'Producción Acero Crudo 2015'!H61</f>
        <v>-9.6490985486885866E-2</v>
      </c>
      <c r="I62" s="35">
        <f>+(I61-'Producción Acero Crudo 2015'!I61)/'Producción Acero Crudo 2015'!I61</f>
        <v>-6.3565545366038867E-2</v>
      </c>
      <c r="J62" s="35">
        <f>+(J61-'Producción Acero Crudo 2015'!J61)/'Producción Acero Crudo 2015'!J61</f>
        <v>-2.8223470790334357E-2</v>
      </c>
      <c r="K62" s="35">
        <f>+(K61-'Producción Acero Crudo 2015'!K61)/'Producción Acero Crudo 2015'!K61</f>
        <v>-1.9574146197641858E-2</v>
      </c>
      <c r="L62" s="35">
        <f>+(L61-'Producción Acero Crudo 2015'!L61)/'Producción Acero Crudo 2015'!L61</f>
        <v>-1.8967312696008966E-2</v>
      </c>
      <c r="M62" s="35">
        <f>+(M61-'Producción Acero Crudo 2015'!M61)/'Producción Acero Crudo 2015'!M61</f>
        <v>1.8000825900929444E-2</v>
      </c>
      <c r="N62" s="35">
        <f>+(N61-'Producción Acero Crudo 2015'!N61)/'Producción Acero Crudo 2015'!N61</f>
        <v>2.907930089550953E-2</v>
      </c>
      <c r="O62" s="35">
        <f>+(O61-'Producción Acero Crudo 2015'!O61)/'Producción Acero Crudo 2015'!O61</f>
        <v>-3.8349606285338497E-2</v>
      </c>
      <c r="P62" s="35">
        <f>+(P61-'Producción Acero Crudo 2015'!P61)/'Producción Acero Crudo 2015'!P61</f>
        <v>-6.2075466882174274E-2</v>
      </c>
      <c r="R62" s="58"/>
      <c r="S62" s="45"/>
    </row>
    <row r="63" spans="2:21" ht="18" customHeight="1" thickTop="1">
      <c r="B63" s="59"/>
    </row>
    <row r="64" spans="2:21">
      <c r="F64" s="45">
        <f>(H60-'Producción Acero Crudo 2015'!H60)/'Producción Acero Crudo 2015'!H60</f>
        <v>-0.17428252088119808</v>
      </c>
    </row>
    <row r="65" spans="6:9">
      <c r="F65" s="45">
        <f>(H61-'Producción Acero Crudo 2015'!H61)/'Producción Acero Crudo 2015'!H61</f>
        <v>-9.6490985486885866E-2</v>
      </c>
    </row>
    <row r="66" spans="6:9">
      <c r="F66" s="45"/>
    </row>
    <row r="71" spans="6:9">
      <c r="I71" s="66">
        <f>D59+E59</f>
        <v>3964.2280618008544</v>
      </c>
    </row>
    <row r="72" spans="6:9">
      <c r="I72" s="66">
        <f>D60+E60</f>
        <v>5133.5950641502495</v>
      </c>
    </row>
    <row r="73" spans="6:9">
      <c r="I73" s="66">
        <f>D61+E61</f>
        <v>9314.1491259511058</v>
      </c>
    </row>
  </sheetData>
  <mergeCells count="15">
    <mergeCell ref="B23:B26"/>
    <mergeCell ref="B3:B6"/>
    <mergeCell ref="B7:B10"/>
    <mergeCell ref="B11:B14"/>
    <mergeCell ref="B15:B18"/>
    <mergeCell ref="B19:B22"/>
    <mergeCell ref="B55:B58"/>
    <mergeCell ref="B59:B62"/>
    <mergeCell ref="B27:B30"/>
    <mergeCell ref="B31:B34"/>
    <mergeCell ref="B35:B38"/>
    <mergeCell ref="B39:B42"/>
    <mergeCell ref="B43:B46"/>
    <mergeCell ref="B51:B54"/>
    <mergeCell ref="B47:B50"/>
  </mergeCells>
  <hyperlinks>
    <hyperlink ref="P1" location="Índice!A1" display="Í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6"/>
  <sheetViews>
    <sheetView zoomScale="70" zoomScaleNormal="70" workbookViewId="0">
      <pane xSplit="3" ySplit="2" topLeftCell="D3" activePane="bottomRight" state="frozen"/>
      <selection activeCell="D91" sqref="D91:O91"/>
      <selection pane="topRight" activeCell="D91" sqref="D91:O91"/>
      <selection pane="bottomLeft" activeCell="D91" sqref="D91:O91"/>
      <selection pane="bottomRight" activeCell="D91" sqref="D91:O91"/>
    </sheetView>
  </sheetViews>
  <sheetFormatPr defaultColWidth="11.42578125" defaultRowHeight="12.75"/>
  <cols>
    <col min="1" max="1" width="2.7109375" style="2" customWidth="1"/>
    <col min="2" max="2" width="25.42578125" style="2" customWidth="1"/>
    <col min="3" max="3" width="34.140625" style="2" bestFit="1" customWidth="1"/>
    <col min="4" max="14" width="13.7109375" style="2" customWidth="1"/>
    <col min="15" max="15" width="13.7109375" style="1" customWidth="1"/>
    <col min="16" max="16" width="13.7109375" style="2" customWidth="1"/>
    <col min="17" max="17" width="2.7109375" style="2" customWidth="1"/>
    <col min="18" max="16384" width="11.42578125" style="2"/>
  </cols>
  <sheetData>
    <row r="1" spans="1:20" s="8" customFormat="1" ht="38.25" customHeight="1" thickBot="1">
      <c r="A1" s="38" t="s">
        <v>41</v>
      </c>
      <c r="B1" s="22" t="s">
        <v>114</v>
      </c>
      <c r="O1" s="9"/>
      <c r="P1" s="87" t="s">
        <v>111</v>
      </c>
    </row>
    <row r="2" spans="1:20" ht="30" customHeight="1" thickTop="1">
      <c r="B2" s="33" t="s">
        <v>36</v>
      </c>
      <c r="C2" s="21" t="s">
        <v>23</v>
      </c>
      <c r="D2" s="50" t="s">
        <v>27</v>
      </c>
      <c r="E2" s="50" t="s">
        <v>28</v>
      </c>
      <c r="F2" s="50" t="s">
        <v>26</v>
      </c>
      <c r="G2" s="50" t="s">
        <v>22</v>
      </c>
      <c r="H2" s="50" t="s">
        <v>29</v>
      </c>
      <c r="I2" s="50" t="s">
        <v>30</v>
      </c>
      <c r="J2" s="50" t="s">
        <v>31</v>
      </c>
      <c r="K2" s="50" t="s">
        <v>32</v>
      </c>
      <c r="L2" s="50" t="s">
        <v>33</v>
      </c>
      <c r="M2" s="50" t="s">
        <v>24</v>
      </c>
      <c r="N2" s="50" t="s">
        <v>34</v>
      </c>
      <c r="O2" s="50" t="s">
        <v>35</v>
      </c>
      <c r="P2" s="50" t="s">
        <v>25</v>
      </c>
      <c r="R2" s="36" t="s">
        <v>99</v>
      </c>
      <c r="T2" s="36" t="s">
        <v>97</v>
      </c>
    </row>
    <row r="3" spans="1:20" ht="18" customHeight="1" thickBot="1">
      <c r="B3" s="259" t="s">
        <v>0</v>
      </c>
      <c r="C3" s="29" t="s">
        <v>13</v>
      </c>
      <c r="D3" s="34">
        <v>143.018</v>
      </c>
      <c r="E3" s="34">
        <v>157.09800000000001</v>
      </c>
      <c r="F3" s="34">
        <v>199.90899999999999</v>
      </c>
      <c r="G3" s="34">
        <v>164.49199999999999</v>
      </c>
      <c r="H3" s="34">
        <v>150.739</v>
      </c>
      <c r="I3" s="34">
        <v>183.619</v>
      </c>
      <c r="J3" s="34">
        <v>169.79400000000001</v>
      </c>
      <c r="K3" s="34">
        <v>209.941</v>
      </c>
      <c r="L3" s="34">
        <v>209.20099999999999</v>
      </c>
      <c r="M3" s="34">
        <v>238.46600000000001</v>
      </c>
      <c r="N3" s="34">
        <v>200.11799999999999</v>
      </c>
      <c r="O3" s="34">
        <v>179.60499999999999</v>
      </c>
      <c r="P3" s="34">
        <f>SUM(D3:O3)</f>
        <v>2206</v>
      </c>
      <c r="T3" s="7"/>
    </row>
    <row r="4" spans="1:20" ht="18" customHeight="1" thickTop="1" thickBot="1">
      <c r="B4" s="260"/>
      <c r="C4" s="29" t="s">
        <v>14</v>
      </c>
      <c r="D4" s="34">
        <v>242.92500000000001</v>
      </c>
      <c r="E4" s="34">
        <v>219.59100000000001</v>
      </c>
      <c r="F4" s="34">
        <v>229.928</v>
      </c>
      <c r="G4" s="34">
        <v>219.33699999999999</v>
      </c>
      <c r="H4" s="34">
        <v>260.166</v>
      </c>
      <c r="I4" s="34">
        <v>261.01299999999998</v>
      </c>
      <c r="J4" s="34">
        <v>261.25299999999999</v>
      </c>
      <c r="K4" s="34">
        <v>263.55900000000003</v>
      </c>
      <c r="L4" s="34">
        <v>237.21</v>
      </c>
      <c r="M4" s="34">
        <v>230.268</v>
      </c>
      <c r="N4" s="34">
        <v>204.75899999999999</v>
      </c>
      <c r="O4" s="34">
        <v>192.023</v>
      </c>
      <c r="P4" s="34">
        <f>SUM(D4:O4)</f>
        <v>2822.0319999999997</v>
      </c>
      <c r="T4" s="7"/>
    </row>
    <row r="5" spans="1:20" ht="18" customHeight="1" thickTop="1" thickBot="1">
      <c r="B5" s="260"/>
      <c r="C5" s="29" t="s">
        <v>8</v>
      </c>
      <c r="D5" s="34">
        <v>385.94299999999998</v>
      </c>
      <c r="E5" s="34">
        <v>376.68900000000002</v>
      </c>
      <c r="F5" s="34">
        <v>429.83699999999999</v>
      </c>
      <c r="G5" s="34">
        <v>383.82899999999995</v>
      </c>
      <c r="H5" s="34">
        <v>410.90499999999997</v>
      </c>
      <c r="I5" s="34">
        <v>444.63199999999995</v>
      </c>
      <c r="J5" s="34">
        <v>431.04700000000003</v>
      </c>
      <c r="K5" s="34">
        <v>473.5</v>
      </c>
      <c r="L5" s="34">
        <v>446.411</v>
      </c>
      <c r="M5" s="34">
        <v>468.73400000000004</v>
      </c>
      <c r="N5" s="34">
        <v>404.87699999999995</v>
      </c>
      <c r="O5" s="34">
        <v>371.62799999999999</v>
      </c>
      <c r="P5" s="34">
        <f>SUM(D5:O5)</f>
        <v>5028.0320000000002</v>
      </c>
      <c r="R5" s="7">
        <f>+D5+E5+F5+G5+H5</f>
        <v>1987.203</v>
      </c>
      <c r="T5" s="7">
        <f>+D5+E5+F5+G5</f>
        <v>1576.298</v>
      </c>
    </row>
    <row r="6" spans="1:20" ht="18" customHeight="1" thickTop="1" thickBot="1">
      <c r="B6" s="260"/>
      <c r="C6" s="32" t="s">
        <v>67</v>
      </c>
      <c r="D6" s="35">
        <v>-2.7851385390428252E-2</v>
      </c>
      <c r="E6" s="35">
        <v>-9.5810776345990195E-3</v>
      </c>
      <c r="F6" s="35">
        <v>-8.8853512635822973E-2</v>
      </c>
      <c r="G6" s="35">
        <v>-0.20987885587245392</v>
      </c>
      <c r="H6" s="35">
        <v>-0.14906769271549522</v>
      </c>
      <c r="I6" s="35">
        <v>-6.8677474760169277E-2</v>
      </c>
      <c r="J6" s="35">
        <v>-9.5685357994024889E-2</v>
      </c>
      <c r="K6" s="35">
        <v>1.3087767419867563E-2</v>
      </c>
      <c r="L6" s="35">
        <v>-3.7523581600422573E-2</v>
      </c>
      <c r="M6" s="35">
        <v>-1.8428007220428189E-2</v>
      </c>
      <c r="N6" s="35">
        <v>-0.12232254148556823</v>
      </c>
      <c r="O6" s="35">
        <v>-0.1670988491320865</v>
      </c>
      <c r="P6" s="35">
        <f>(P5-'Producción Acero Crudo 2014'!P5)/'Producción Acero Crudo 2014'!P5</f>
        <v>-8.3823093706371143E-2</v>
      </c>
      <c r="T6" s="7"/>
    </row>
    <row r="7" spans="1:20" ht="18" customHeight="1" thickTop="1" thickBot="1">
      <c r="B7" s="260" t="s">
        <v>37</v>
      </c>
      <c r="C7" s="29" t="s">
        <v>13</v>
      </c>
      <c r="D7" s="171">
        <v>604.18119999999999</v>
      </c>
      <c r="E7" s="171">
        <v>608.18240000000003</v>
      </c>
      <c r="F7" s="171">
        <v>651.19529999999997</v>
      </c>
      <c r="G7" s="171">
        <v>605.18150000000003</v>
      </c>
      <c r="H7" s="171">
        <v>625.1875</v>
      </c>
      <c r="I7" s="171">
        <v>549.16469999999993</v>
      </c>
      <c r="J7" s="171">
        <v>588.17639999999994</v>
      </c>
      <c r="K7" s="171">
        <v>622.1866</v>
      </c>
      <c r="L7" s="171">
        <v>433.12989999999996</v>
      </c>
      <c r="M7" s="171">
        <v>628.1884</v>
      </c>
      <c r="N7" s="171">
        <v>525.15750000000003</v>
      </c>
      <c r="O7" s="171">
        <v>282.08459999999997</v>
      </c>
      <c r="P7" s="171">
        <f>SUM(D7:O7)</f>
        <v>6722.0160000000005</v>
      </c>
      <c r="T7" s="7"/>
    </row>
    <row r="8" spans="1:20" ht="18" customHeight="1" thickTop="1" thickBot="1">
      <c r="B8" s="260"/>
      <c r="C8" s="29" t="s">
        <v>14</v>
      </c>
      <c r="D8" s="171">
        <v>2382.7145999999998</v>
      </c>
      <c r="E8" s="171">
        <v>2059.6176999999998</v>
      </c>
      <c r="F8" s="171">
        <v>2117.6351</v>
      </c>
      <c r="G8" s="171">
        <v>2292.6875999999997</v>
      </c>
      <c r="H8" s="171">
        <v>2358.7073999999998</v>
      </c>
      <c r="I8" s="171">
        <v>2227.6680999999999</v>
      </c>
      <c r="J8" s="171">
        <v>2289.6866999999997</v>
      </c>
      <c r="K8" s="171">
        <v>2177.6531</v>
      </c>
      <c r="L8" s="171">
        <v>2068.6203999999998</v>
      </c>
      <c r="M8" s="171">
        <v>2354.7062000000001</v>
      </c>
      <c r="N8" s="171">
        <v>2023.6069</v>
      </c>
      <c r="O8" s="171">
        <v>2180.654</v>
      </c>
      <c r="P8" s="171">
        <f>SUM(D8:O8)</f>
        <v>26533.957799999996</v>
      </c>
      <c r="T8" s="7"/>
    </row>
    <row r="9" spans="1:20" ht="18" customHeight="1" thickTop="1" thickBot="1">
      <c r="B9" s="260"/>
      <c r="C9" s="29" t="s">
        <v>8</v>
      </c>
      <c r="D9" s="171">
        <f t="shared" ref="D9:N9" si="0">+D7+D8</f>
        <v>2986.8957999999998</v>
      </c>
      <c r="E9" s="171">
        <f t="shared" si="0"/>
        <v>2667.8000999999999</v>
      </c>
      <c r="F9" s="171">
        <f t="shared" si="0"/>
        <v>2768.8303999999998</v>
      </c>
      <c r="G9" s="171">
        <f t="shared" si="0"/>
        <v>2897.8690999999999</v>
      </c>
      <c r="H9" s="171">
        <f t="shared" si="0"/>
        <v>2983.8948999999998</v>
      </c>
      <c r="I9" s="171">
        <f t="shared" si="0"/>
        <v>2776.8327999999997</v>
      </c>
      <c r="J9" s="171">
        <f t="shared" si="0"/>
        <v>2877.8630999999996</v>
      </c>
      <c r="K9" s="171">
        <f t="shared" si="0"/>
        <v>2799.8397</v>
      </c>
      <c r="L9" s="171">
        <f t="shared" si="0"/>
        <v>2501.7502999999997</v>
      </c>
      <c r="M9" s="171">
        <f t="shared" si="0"/>
        <v>2982.8946000000001</v>
      </c>
      <c r="N9" s="171">
        <f t="shared" si="0"/>
        <v>2548.7644</v>
      </c>
      <c r="O9" s="171">
        <f>+O7+O8</f>
        <v>2462.7386000000001</v>
      </c>
      <c r="P9" s="171">
        <f>SUM(D9:O9)</f>
        <v>33255.973799999992</v>
      </c>
      <c r="R9" s="7">
        <f>+D9+E9+F9+G9+H9</f>
        <v>14305.290299999999</v>
      </c>
      <c r="S9" s="72">
        <v>1.0003</v>
      </c>
      <c r="T9" s="7">
        <f>+D9+E9+F9+G9</f>
        <v>11321.395399999999</v>
      </c>
    </row>
    <row r="10" spans="1:20" ht="18" customHeight="1" thickTop="1" thickBot="1">
      <c r="B10" s="260"/>
      <c r="C10" s="32" t="s">
        <v>67</v>
      </c>
      <c r="D10" s="35">
        <f>+(D9-'Producción Acero Crudo 2014'!D9)/'Producción Acero Crudo 2014'!D9</f>
        <v>8.7598639889881702E-2</v>
      </c>
      <c r="E10" s="35">
        <f>+(E9-'Producción Acero Crudo 2014'!E9)/'Producción Acero Crudo 2014'!E9</f>
        <v>1.8352444904645854E-2</v>
      </c>
      <c r="F10" s="35">
        <f>+(F9-'Producción Acero Crudo 2014'!F9)/'Producción Acero Crudo 2014'!F9</f>
        <v>-7.3522422850123434E-2</v>
      </c>
      <c r="G10" s="35">
        <f>+(G9-'Producción Acero Crudo 2014'!G9)/'Producción Acero Crudo 2014'!G9</f>
        <v>4.0825718808733737E-2</v>
      </c>
      <c r="H10" s="35">
        <f>+(H9-'Producción Acero Crudo 2014'!H9)/'Producción Acero Crudo 2014'!H9</f>
        <v>3.8267037874124665E-2</v>
      </c>
      <c r="I10" s="35">
        <f>+(I9-'Producción Acero Crudo 2014'!I9)/'Producción Acero Crudo 2014'!I9</f>
        <v>1.9248980428121544E-2</v>
      </c>
      <c r="J10" s="35">
        <f>+(J9-'Producción Acero Crudo 2014'!J9)/'Producción Acero Crudo 2014'!J9</f>
        <v>-2.7305588074131883E-2</v>
      </c>
      <c r="K10" s="35">
        <f>+(K9-'Producción Acero Crudo 2014'!K9)/'Producción Acero Crudo 2014'!K9</f>
        <v>-5.4632425361024854E-2</v>
      </c>
      <c r="L10" s="35">
        <f>+(L9-'Producción Acero Crudo 2014'!L9)/'Producción Acero Crudo 2014'!L9</f>
        <v>-0.13638826032214832</v>
      </c>
      <c r="M10" s="35">
        <f>+(M9-'Producción Acero Crudo 2014'!M9)/'Producción Acero Crudo 2014'!M9</f>
        <v>-2.3394122294627482E-2</v>
      </c>
      <c r="N10" s="35">
        <f>+(N9-'Producción Acero Crudo 2014'!N9)/'Producción Acero Crudo 2014'!N9</f>
        <v>-4.4894143485112205E-2</v>
      </c>
      <c r="O10" s="35">
        <f>+(O9-'Producción Acero Crudo 2014'!O9)/'Producción Acero Crudo 2014'!O9</f>
        <v>-5.9923614789936734E-2</v>
      </c>
      <c r="P10" s="35">
        <f>+(P9-'Producción Acero Crudo 2014'!P9)/'Producción Acero Crudo 2014'!P9</f>
        <v>-1.8907741953911886E-2</v>
      </c>
      <c r="T10" s="7"/>
    </row>
    <row r="11" spans="1:20" ht="18" customHeight="1" thickTop="1" thickBot="1">
      <c r="B11" s="260" t="s">
        <v>1</v>
      </c>
      <c r="C11" s="29" t="s">
        <v>13</v>
      </c>
      <c r="D11" s="34">
        <v>28.751000000000001</v>
      </c>
      <c r="E11" s="34">
        <v>28.245000000000001</v>
      </c>
      <c r="F11" s="34">
        <v>30.736000000000001</v>
      </c>
      <c r="G11" s="34">
        <v>22.870999999999999</v>
      </c>
      <c r="H11" s="34">
        <v>23.786999999999999</v>
      </c>
      <c r="I11" s="34">
        <v>26.93</v>
      </c>
      <c r="J11" s="34">
        <v>30.373999999999999</v>
      </c>
      <c r="K11" s="34">
        <v>30.853000000000002</v>
      </c>
      <c r="L11" s="34">
        <v>18.879000000000001</v>
      </c>
      <c r="M11" s="34">
        <v>36.213999999999999</v>
      </c>
      <c r="N11" s="34">
        <v>34.335000000000001</v>
      </c>
      <c r="O11" s="34">
        <v>26.963999999999999</v>
      </c>
      <c r="P11" s="34">
        <f>SUM(D11:O11)</f>
        <v>338.93899999999996</v>
      </c>
      <c r="T11" s="7"/>
    </row>
    <row r="12" spans="1:20" ht="18" customHeight="1" thickTop="1" thickBot="1">
      <c r="B12" s="260"/>
      <c r="C12" s="29" t="s">
        <v>14</v>
      </c>
      <c r="D12" s="34">
        <v>69.131</v>
      </c>
      <c r="E12" s="34">
        <v>66.372</v>
      </c>
      <c r="F12" s="34">
        <v>52.398000000000003</v>
      </c>
      <c r="G12" s="34">
        <v>58.417999999999999</v>
      </c>
      <c r="H12" s="34">
        <v>66.269000000000005</v>
      </c>
      <c r="I12" s="34">
        <v>67.328000000000003</v>
      </c>
      <c r="J12" s="34">
        <v>64.441000000000003</v>
      </c>
      <c r="K12" s="34">
        <v>68.254999999999995</v>
      </c>
      <c r="L12" s="34">
        <v>61.012</v>
      </c>
      <c r="M12" s="34">
        <v>63.384</v>
      </c>
      <c r="N12" s="34">
        <v>66.483000000000004</v>
      </c>
      <c r="O12" s="34">
        <v>69.361999999999995</v>
      </c>
      <c r="P12" s="34">
        <f>SUM(D12:O12)</f>
        <v>772.85299999999995</v>
      </c>
      <c r="T12" s="7"/>
    </row>
    <row r="13" spans="1:20" ht="18" customHeight="1" thickTop="1" thickBot="1">
      <c r="B13" s="260"/>
      <c r="C13" s="29" t="s">
        <v>8</v>
      </c>
      <c r="D13" s="34">
        <v>97.882000000000005</v>
      </c>
      <c r="E13" s="34">
        <v>94.617000000000004</v>
      </c>
      <c r="F13" s="34">
        <v>83.134</v>
      </c>
      <c r="G13" s="34">
        <v>81.289000000000001</v>
      </c>
      <c r="H13" s="34">
        <v>90.056000000000012</v>
      </c>
      <c r="I13" s="34">
        <v>94.25800000000001</v>
      </c>
      <c r="J13" s="34">
        <v>94.814999999999998</v>
      </c>
      <c r="K13" s="34">
        <v>99.108000000000004</v>
      </c>
      <c r="L13" s="34">
        <v>79.891000000000005</v>
      </c>
      <c r="M13" s="34">
        <v>99.597999999999999</v>
      </c>
      <c r="N13" s="34">
        <v>100.81800000000001</v>
      </c>
      <c r="O13" s="34">
        <v>96.325999999999993</v>
      </c>
      <c r="P13" s="34">
        <f>SUM(D13:O13)</f>
        <v>1111.7919999999999</v>
      </c>
      <c r="R13" s="7">
        <f>+D13+E13+F13+G13+H13</f>
        <v>446.97800000000007</v>
      </c>
      <c r="T13" s="7">
        <f>+D13+E13+F13+G13</f>
        <v>356.92200000000003</v>
      </c>
    </row>
    <row r="14" spans="1:20" ht="18" customHeight="1" thickTop="1" thickBot="1">
      <c r="B14" s="260"/>
      <c r="C14" s="32" t="s">
        <v>67</v>
      </c>
      <c r="D14" s="35">
        <v>3.0521251171262233E-2</v>
      </c>
      <c r="E14" s="35">
        <v>5.2902751966882974E-2</v>
      </c>
      <c r="F14" s="35">
        <v>-0.23489512870776846</v>
      </c>
      <c r="G14" s="35">
        <v>-0.15994254180187248</v>
      </c>
      <c r="H14" s="35">
        <v>0.14462930716727893</v>
      </c>
      <c r="I14" s="35">
        <v>0.14025452433949492</v>
      </c>
      <c r="J14" s="35">
        <v>3.4827119532000378E-2</v>
      </c>
      <c r="K14" s="35">
        <v>5.8427758257953627E-2</v>
      </c>
      <c r="L14" s="35">
        <v>4.6968168057976371E-2</v>
      </c>
      <c r="M14" s="35">
        <v>8.448480493036728E-2</v>
      </c>
      <c r="N14" s="35">
        <v>0.21216274707834387</v>
      </c>
      <c r="O14" s="35">
        <v>5.88416343310652E-2</v>
      </c>
      <c r="P14" s="35">
        <f>(P13-'Producción Acero Crudo 2014'!P13)/'Producción Acero Crudo 2014'!P13</f>
        <v>3.0236424188397924E-2</v>
      </c>
      <c r="T14" s="7"/>
    </row>
    <row r="15" spans="1:20" ht="18" customHeight="1" thickTop="1" thickBot="1">
      <c r="B15" s="260" t="s">
        <v>2</v>
      </c>
      <c r="C15" s="29" t="s">
        <v>13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>
        <f>SUM(D15:O15)</f>
        <v>0</v>
      </c>
      <c r="T15" s="7"/>
    </row>
    <row r="16" spans="1:20" ht="18" customHeight="1" thickTop="1" thickBot="1">
      <c r="B16" s="260"/>
      <c r="C16" s="29" t="s">
        <v>14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>
        <f>SUM(D16:O16)</f>
        <v>0</v>
      </c>
      <c r="T16" s="7"/>
    </row>
    <row r="17" spans="2:20" ht="18" customHeight="1" thickTop="1" thickBot="1">
      <c r="B17" s="260"/>
      <c r="C17" s="29" t="s">
        <v>8</v>
      </c>
      <c r="D17" s="34">
        <v>113.15600000000001</v>
      </c>
      <c r="E17" s="34">
        <v>113.15600000000001</v>
      </c>
      <c r="F17" s="34">
        <v>113.15600000000001</v>
      </c>
      <c r="G17" s="34">
        <v>113.15600000000001</v>
      </c>
      <c r="H17" s="34">
        <v>113.15600000000001</v>
      </c>
      <c r="I17" s="34">
        <v>113.15600000000001</v>
      </c>
      <c r="J17" s="34">
        <v>113.15600000000001</v>
      </c>
      <c r="K17" s="34">
        <v>113.15600000000001</v>
      </c>
      <c r="L17" s="34">
        <v>113.15600000000001</v>
      </c>
      <c r="M17" s="34">
        <v>113.15600000000001</v>
      </c>
      <c r="N17" s="34">
        <v>113.15600000000001</v>
      </c>
      <c r="O17" s="34">
        <v>113.15600000000001</v>
      </c>
      <c r="P17" s="34">
        <f>SUM(D17:O17)</f>
        <v>1357.8719999999996</v>
      </c>
      <c r="R17" s="7">
        <f>+D17+E17+F17+G17+H17</f>
        <v>565.78</v>
      </c>
      <c r="T17" s="7">
        <f>+D17+E17+F17+G17</f>
        <v>452.62400000000002</v>
      </c>
    </row>
    <row r="18" spans="2:20" ht="18" customHeight="1" thickTop="1" thickBot="1">
      <c r="B18" s="260"/>
      <c r="C18" s="32" t="s">
        <v>67</v>
      </c>
      <c r="D18" s="35">
        <v>-0.15505870998874063</v>
      </c>
      <c r="E18" s="35">
        <v>0.27503728092840585</v>
      </c>
      <c r="F18" s="35">
        <v>-0.22166913162898785</v>
      </c>
      <c r="G18" s="35">
        <v>-0.13292086976014356</v>
      </c>
      <c r="H18" s="35">
        <v>-0.10239659120041725</v>
      </c>
      <c r="I18" s="35">
        <v>1.8008899413708111E-2</v>
      </c>
      <c r="J18" s="35">
        <v>-3.4682878454706086E-2</v>
      </c>
      <c r="K18" s="35">
        <v>0.24819471582703237</v>
      </c>
      <c r="L18" s="35">
        <v>0.138585728123991</v>
      </c>
      <c r="M18" s="35">
        <v>5.0000000000000072E-2</v>
      </c>
      <c r="N18" s="35">
        <v>5.0000000000000142E-2</v>
      </c>
      <c r="O18" s="35">
        <v>4.999999999999994E-2</v>
      </c>
      <c r="P18" s="35">
        <f>(P17-'Producción Acero Crudo 2014'!P17)/'Producción Acero Crudo 2014'!P17</f>
        <v>0.21436339180951808</v>
      </c>
      <c r="T18" s="7"/>
    </row>
    <row r="19" spans="2:20" s="3" customFormat="1" ht="18" customHeight="1" thickTop="1" thickBot="1">
      <c r="B19" s="260" t="s">
        <v>9</v>
      </c>
      <c r="C19" s="29" t="s">
        <v>13</v>
      </c>
      <c r="D19" s="34">
        <v>17.837</v>
      </c>
      <c r="E19" s="34">
        <v>12.55</v>
      </c>
      <c r="F19" s="34">
        <v>27.481000000000002</v>
      </c>
      <c r="G19" s="34">
        <v>18.094999999999999</v>
      </c>
      <c r="H19" s="34">
        <v>23.766999999999999</v>
      </c>
      <c r="I19" s="34">
        <v>22.5</v>
      </c>
      <c r="J19" s="34">
        <v>23.85</v>
      </c>
      <c r="K19" s="30">
        <v>25.042999999999999</v>
      </c>
      <c r="L19" s="30">
        <v>26.295000000000002</v>
      </c>
      <c r="M19" s="30">
        <v>27.61</v>
      </c>
      <c r="N19" s="30">
        <v>28.99</v>
      </c>
      <c r="O19" s="30">
        <v>30.44</v>
      </c>
      <c r="P19" s="34">
        <f>SUM(D19:O19)</f>
        <v>284.45800000000003</v>
      </c>
      <c r="R19" s="2"/>
      <c r="T19" s="7"/>
    </row>
    <row r="20" spans="2:20" s="3" customFormat="1" ht="18" customHeight="1" thickTop="1" thickBot="1">
      <c r="B20" s="260"/>
      <c r="C20" s="29" t="s">
        <v>14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4">
        <f>SUM(D20:O20)</f>
        <v>0</v>
      </c>
      <c r="R20" s="2"/>
      <c r="T20" s="7"/>
    </row>
    <row r="21" spans="2:20" s="3" customFormat="1" ht="18" customHeight="1" thickTop="1" thickBot="1">
      <c r="B21" s="260"/>
      <c r="C21" s="29" t="s">
        <v>8</v>
      </c>
      <c r="D21" s="34">
        <v>17.837</v>
      </c>
      <c r="E21" s="34">
        <v>12.55</v>
      </c>
      <c r="F21" s="34">
        <v>27.481000000000002</v>
      </c>
      <c r="G21" s="34">
        <v>18.094999999999999</v>
      </c>
      <c r="H21" s="34">
        <v>23.766999999999999</v>
      </c>
      <c r="I21" s="34">
        <v>22.5</v>
      </c>
      <c r="J21" s="34">
        <v>23.85</v>
      </c>
      <c r="K21" s="30">
        <v>25.042999999999999</v>
      </c>
      <c r="L21" s="30">
        <v>26.295000000000002</v>
      </c>
      <c r="M21" s="30">
        <v>27.61</v>
      </c>
      <c r="N21" s="30">
        <v>28.99</v>
      </c>
      <c r="O21" s="30">
        <v>30.44</v>
      </c>
      <c r="P21" s="34">
        <f>SUM(D21:O21)</f>
        <v>284.45800000000003</v>
      </c>
      <c r="R21" s="7">
        <f>+D21+E21+F21+G21+H21</f>
        <v>99.72999999999999</v>
      </c>
      <c r="T21" s="7">
        <f>+D21+E21+F21+G21</f>
        <v>75.962999999999994</v>
      </c>
    </row>
    <row r="22" spans="2:20" s="3" customFormat="1" ht="18" customHeight="1" thickTop="1" thickBot="1">
      <c r="B22" s="260"/>
      <c r="C22" s="32" t="s">
        <v>67</v>
      </c>
      <c r="D22" s="35">
        <v>-0.24291171477079793</v>
      </c>
      <c r="E22" s="35">
        <v>-0.40021028484037463</v>
      </c>
      <c r="F22" s="35">
        <v>0.36619438230176504</v>
      </c>
      <c r="G22" s="35">
        <v>-0.23973782614175876</v>
      </c>
      <c r="H22" s="35">
        <v>7.5819301104472242E-2</v>
      </c>
      <c r="I22" s="35">
        <v>0.24144780401677343</v>
      </c>
      <c r="J22" s="35">
        <v>0.15323243556887967</v>
      </c>
      <c r="K22" s="37">
        <v>0.22030016567586011</v>
      </c>
      <c r="L22" s="37">
        <v>0.39733234137527895</v>
      </c>
      <c r="M22" s="35">
        <v>0.21995404736656052</v>
      </c>
      <c r="N22" s="35">
        <v>0.36674367073688185</v>
      </c>
      <c r="O22" s="35">
        <v>0.2713527962243662</v>
      </c>
      <c r="P22" s="35">
        <f>(P21-'Producción Acero Crudo 2014'!P21)/'Producción Acero Crudo 2014'!P21</f>
        <v>0.10933106624600768</v>
      </c>
      <c r="R22" s="2"/>
      <c r="T22" s="7"/>
    </row>
    <row r="23" spans="2:20" s="3" customFormat="1" ht="18" customHeight="1" thickTop="1">
      <c r="B23" s="256" t="s">
        <v>4</v>
      </c>
      <c r="C23" s="29" t="s">
        <v>13</v>
      </c>
      <c r="D23" s="34">
        <v>45.805</v>
      </c>
      <c r="E23" s="34">
        <v>52.896999999999998</v>
      </c>
      <c r="F23" s="34">
        <v>55.936999999999998</v>
      </c>
      <c r="G23" s="34">
        <v>54.918999999999997</v>
      </c>
      <c r="H23" s="34">
        <v>55.694000000000003</v>
      </c>
      <c r="I23" s="30">
        <v>58.478999999999999</v>
      </c>
      <c r="J23" s="30">
        <v>61.402999999999999</v>
      </c>
      <c r="K23" s="30">
        <v>64.472999999999999</v>
      </c>
      <c r="L23" s="30">
        <v>67.697000000000003</v>
      </c>
      <c r="M23" s="30">
        <v>71.081999999999994</v>
      </c>
      <c r="N23" s="30">
        <v>74.635999999999996</v>
      </c>
      <c r="O23" s="30">
        <v>56.664300000000004</v>
      </c>
      <c r="P23" s="34">
        <f>SUM(D23:O23)</f>
        <v>719.68630000000007</v>
      </c>
      <c r="R23" s="2"/>
      <c r="T23" s="7"/>
    </row>
    <row r="24" spans="2:20" s="3" customFormat="1" ht="18" customHeight="1">
      <c r="B24" s="257"/>
      <c r="C24" s="29" t="s">
        <v>14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4">
        <f>SUM(D24:O24)</f>
        <v>0</v>
      </c>
      <c r="R24" s="2"/>
      <c r="T24" s="7"/>
    </row>
    <row r="25" spans="2:20" s="3" customFormat="1" ht="18" customHeight="1">
      <c r="B25" s="257"/>
      <c r="C25" s="29" t="s">
        <v>8</v>
      </c>
      <c r="D25" s="34">
        <v>45.805</v>
      </c>
      <c r="E25" s="34">
        <v>52.896999999999998</v>
      </c>
      <c r="F25" s="34">
        <v>55.936999999999998</v>
      </c>
      <c r="G25" s="34">
        <v>54.918999999999997</v>
      </c>
      <c r="H25" s="34">
        <v>55.694000000000003</v>
      </c>
      <c r="I25" s="30">
        <v>58.478999999999999</v>
      </c>
      <c r="J25" s="30">
        <v>61.402999999999999</v>
      </c>
      <c r="K25" s="30">
        <v>64.472999999999999</v>
      </c>
      <c r="L25" s="30">
        <v>67.697000000000003</v>
      </c>
      <c r="M25" s="30">
        <v>71.081999999999994</v>
      </c>
      <c r="N25" s="30">
        <v>74.635999999999996</v>
      </c>
      <c r="O25" s="30">
        <v>56.664300000000004</v>
      </c>
      <c r="P25" s="34">
        <f>SUM(D25:O25)</f>
        <v>719.68630000000007</v>
      </c>
      <c r="R25" s="7">
        <f>+D25+E25+F25+G25+H25</f>
        <v>265.25200000000001</v>
      </c>
      <c r="T25" s="7">
        <f>+D25+E25+F25+G25</f>
        <v>209.55799999999999</v>
      </c>
    </row>
    <row r="26" spans="2:20" s="3" customFormat="1" ht="18" customHeight="1" thickBot="1">
      <c r="B26" s="258"/>
      <c r="C26" s="32" t="s">
        <v>67</v>
      </c>
      <c r="D26" s="35">
        <v>-7.0138043036946776E-2</v>
      </c>
      <c r="E26" s="35">
        <v>0.1187318909544656</v>
      </c>
      <c r="F26" s="35">
        <v>2.9426920387205943E-2</v>
      </c>
      <c r="G26" s="35">
        <v>2.3844146159582334E-2</v>
      </c>
      <c r="H26" s="35">
        <v>-1.4317823832362839E-2</v>
      </c>
      <c r="I26" s="37">
        <v>7.1872272703940305E-4</v>
      </c>
      <c r="J26" s="37">
        <v>3.5428821962159775E-2</v>
      </c>
      <c r="K26" s="37">
        <v>0.10569370605385005</v>
      </c>
      <c r="L26" s="37">
        <v>0.10133728118695905</v>
      </c>
      <c r="M26" s="35">
        <v>0.23265008844032875</v>
      </c>
      <c r="N26" s="35">
        <v>0.30743089373927052</v>
      </c>
      <c r="O26" s="35">
        <v>5.0000000000000058E-2</v>
      </c>
      <c r="P26" s="35">
        <f>(P25-'Producción Acero Crudo 2014'!P25)/'Producción Acero Crudo 2014'!P25</f>
        <v>7.8571139542516377E-2</v>
      </c>
      <c r="R26" s="2"/>
      <c r="T26" s="7"/>
    </row>
    <row r="27" spans="2:20" s="3" customFormat="1" ht="18" customHeight="1" thickTop="1">
      <c r="B27" s="256" t="s">
        <v>10</v>
      </c>
      <c r="C27" s="29" t="s">
        <v>13</v>
      </c>
      <c r="D27" s="30">
        <v>8</v>
      </c>
      <c r="E27" s="30">
        <v>8.24</v>
      </c>
      <c r="F27" s="30">
        <v>8.4870000000000001</v>
      </c>
      <c r="G27" s="30">
        <v>8.9109999999999996</v>
      </c>
      <c r="H27" s="30">
        <v>9.4504972000000009</v>
      </c>
      <c r="I27" s="30">
        <v>9.9225977000000007</v>
      </c>
      <c r="J27" s="30">
        <v>10.4190989</v>
      </c>
      <c r="K27" s="30">
        <v>10.9400008</v>
      </c>
      <c r="L27" s="30">
        <v>11.487425200000001</v>
      </c>
      <c r="M27" s="30">
        <v>12.0613721</v>
      </c>
      <c r="N27" s="30">
        <v>12.663963299999999</v>
      </c>
      <c r="O27" s="30">
        <v>13.297320600000001</v>
      </c>
      <c r="P27" s="34">
        <f>SUM(D27:O27)</f>
        <v>123.88027580000002</v>
      </c>
      <c r="R27" s="2"/>
      <c r="T27" s="7"/>
    </row>
    <row r="28" spans="2:20" s="3" customFormat="1" ht="18" customHeight="1">
      <c r="B28" s="257"/>
      <c r="C28" s="29" t="s">
        <v>14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4">
        <v>0</v>
      </c>
      <c r="O28" s="34">
        <v>0</v>
      </c>
      <c r="P28" s="34">
        <f>SUM(D28:O28)</f>
        <v>0</v>
      </c>
      <c r="R28" s="2"/>
      <c r="T28" s="7"/>
    </row>
    <row r="29" spans="2:20" s="3" customFormat="1" ht="18" customHeight="1">
      <c r="B29" s="257"/>
      <c r="C29" s="29" t="s">
        <v>8</v>
      </c>
      <c r="D29" s="30">
        <v>8</v>
      </c>
      <c r="E29" s="30">
        <v>8.24</v>
      </c>
      <c r="F29" s="30">
        <v>8.4870000000000001</v>
      </c>
      <c r="G29" s="30">
        <v>8.9109999999999996</v>
      </c>
      <c r="H29" s="30">
        <v>9.4504972000000009</v>
      </c>
      <c r="I29" s="30">
        <v>9.9225977000000007</v>
      </c>
      <c r="J29" s="30">
        <v>10.4190989</v>
      </c>
      <c r="K29" s="30">
        <v>10.9400008</v>
      </c>
      <c r="L29" s="30">
        <v>11.487425200000001</v>
      </c>
      <c r="M29" s="30">
        <v>12.0613721</v>
      </c>
      <c r="N29" s="30">
        <v>12.663963299999999</v>
      </c>
      <c r="O29" s="30">
        <v>13.297320600000001</v>
      </c>
      <c r="P29" s="34">
        <f>SUM(D29:O29)</f>
        <v>123.88027580000002</v>
      </c>
      <c r="R29" s="7">
        <f>+D29+E29+F29+G29+H29</f>
        <v>43.088497200000006</v>
      </c>
      <c r="T29" s="7">
        <f>+D29+E29+F29+G29</f>
        <v>33.638000000000005</v>
      </c>
    </row>
    <row r="30" spans="2:20" s="3" customFormat="1" ht="18" customHeight="1" thickBot="1">
      <c r="B30" s="258"/>
      <c r="C30" s="32" t="s">
        <v>67</v>
      </c>
      <c r="D30" s="37">
        <v>0</v>
      </c>
      <c r="E30" s="37">
        <v>-1.9047619047619063E-2</v>
      </c>
      <c r="F30" s="37">
        <v>-2.3950980189206644E-2</v>
      </c>
      <c r="G30" s="37">
        <v>1.9737896119709081E-2</v>
      </c>
      <c r="H30" s="37">
        <v>3.0000000000000044E-2</v>
      </c>
      <c r="I30" s="37">
        <v>3.0000000000000089E-2</v>
      </c>
      <c r="J30" s="37">
        <v>3.0000000000000037E-2</v>
      </c>
      <c r="K30" s="37">
        <v>3.0000000000000072E-2</v>
      </c>
      <c r="L30" s="37">
        <v>3.0000000000000103E-2</v>
      </c>
      <c r="M30" s="35">
        <v>2.9999999999999985E-2</v>
      </c>
      <c r="N30" s="35">
        <v>2.9999999999999971E-2</v>
      </c>
      <c r="O30" s="35">
        <v>2.9999999999999971E-2</v>
      </c>
      <c r="P30" s="35">
        <f>(P29-'Producción Acero Crudo 2014'!P29)/'Producción Acero Crudo 2014'!P29</f>
        <v>2.0030325826010522E-2</v>
      </c>
      <c r="R30" s="2"/>
      <c r="T30" s="7"/>
    </row>
    <row r="31" spans="2:20" s="3" customFormat="1" ht="18" customHeight="1" thickTop="1" thickBot="1">
      <c r="B31" s="260" t="s">
        <v>11</v>
      </c>
      <c r="C31" s="29" t="s">
        <v>13</v>
      </c>
      <c r="D31" s="30">
        <v>26</v>
      </c>
      <c r="E31" s="30">
        <v>26.78</v>
      </c>
      <c r="F31" s="30">
        <v>27.582999999999998</v>
      </c>
      <c r="G31" s="30">
        <v>28.962</v>
      </c>
      <c r="H31" s="30">
        <v>30.716237700000001</v>
      </c>
      <c r="I31" s="30">
        <v>32.252420900000004</v>
      </c>
      <c r="J31" s="30">
        <v>33.8649889</v>
      </c>
      <c r="K31" s="30">
        <v>35.558185300000005</v>
      </c>
      <c r="L31" s="30">
        <v>37.3362537</v>
      </c>
      <c r="M31" s="30">
        <v>39.203437700000002</v>
      </c>
      <c r="N31" s="30">
        <v>41.163980900000006</v>
      </c>
      <c r="O31" s="30">
        <v>43.222126900000006</v>
      </c>
      <c r="P31" s="34">
        <f>SUM(D31:O31)</f>
        <v>402.64263200000005</v>
      </c>
      <c r="R31" s="2"/>
      <c r="T31" s="7"/>
    </row>
    <row r="32" spans="2:20" s="3" customFormat="1" ht="18" customHeight="1" thickTop="1" thickBot="1">
      <c r="B32" s="260"/>
      <c r="C32" s="29" t="s">
        <v>14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4">
        <f>SUM(D32:O32)</f>
        <v>0</v>
      </c>
      <c r="R32" s="2"/>
      <c r="T32" s="7"/>
    </row>
    <row r="33" spans="2:20" s="3" customFormat="1" ht="18" customHeight="1" thickTop="1" thickBot="1">
      <c r="B33" s="260"/>
      <c r="C33" s="29" t="s">
        <v>8</v>
      </c>
      <c r="D33" s="30">
        <v>26</v>
      </c>
      <c r="E33" s="30">
        <v>26.78</v>
      </c>
      <c r="F33" s="30">
        <v>27.582999999999998</v>
      </c>
      <c r="G33" s="30">
        <v>28.962</v>
      </c>
      <c r="H33" s="30">
        <v>30.716237700000001</v>
      </c>
      <c r="I33" s="30">
        <v>32.252420900000004</v>
      </c>
      <c r="J33" s="30">
        <v>33.8649889</v>
      </c>
      <c r="K33" s="30">
        <v>35.558185300000005</v>
      </c>
      <c r="L33" s="30">
        <v>37.3362537</v>
      </c>
      <c r="M33" s="30">
        <v>39.203437700000002</v>
      </c>
      <c r="N33" s="30">
        <v>41.163980900000006</v>
      </c>
      <c r="O33" s="30">
        <v>43.222126900000006</v>
      </c>
      <c r="P33" s="34">
        <f>SUM(D33:O33)</f>
        <v>402.64263200000005</v>
      </c>
      <c r="R33" s="7">
        <f>+D33+E33+F33+G33+H33</f>
        <v>140.04123770000001</v>
      </c>
      <c r="T33" s="7">
        <f>+D33+E33+F33+G33</f>
        <v>109.325</v>
      </c>
    </row>
    <row r="34" spans="2:20" s="3" customFormat="1" ht="18" customHeight="1" thickTop="1" thickBot="1">
      <c r="B34" s="260"/>
      <c r="C34" s="32" t="s">
        <v>67</v>
      </c>
      <c r="D34" s="37">
        <v>0</v>
      </c>
      <c r="E34" s="37">
        <v>-1.9047619047619032E-2</v>
      </c>
      <c r="F34" s="37">
        <v>-2.3959920892027756E-2</v>
      </c>
      <c r="G34" s="37">
        <v>1.974492645034254E-2</v>
      </c>
      <c r="H34" s="37">
        <v>3.0000000000000006E-2</v>
      </c>
      <c r="I34" s="37">
        <v>3.0000000000000093E-2</v>
      </c>
      <c r="J34" s="37">
        <v>2.9999999999999971E-2</v>
      </c>
      <c r="K34" s="37">
        <v>3.000000000000003E-2</v>
      </c>
      <c r="L34" s="37">
        <v>3.000000000000002E-2</v>
      </c>
      <c r="M34" s="35">
        <v>2.9999999999999988E-2</v>
      </c>
      <c r="N34" s="35">
        <v>2.9999999999999992E-2</v>
      </c>
      <c r="O34" s="35">
        <v>3.0000000000000079E-2</v>
      </c>
      <c r="P34" s="35">
        <f>(P33-'Producción Acero Crudo 2014'!P33)/'Producción Acero Crudo 2014'!P33</f>
        <v>2.0030874833651367E-2</v>
      </c>
      <c r="R34" s="2"/>
      <c r="T34" s="7"/>
    </row>
    <row r="35" spans="2:20" s="3" customFormat="1" ht="18" customHeight="1" thickTop="1" thickBot="1">
      <c r="B35" s="260" t="s">
        <v>20</v>
      </c>
      <c r="C35" s="29" t="s">
        <v>13</v>
      </c>
      <c r="D35" s="34">
        <v>1169.204</v>
      </c>
      <c r="E35" s="34">
        <v>1044.5509999999999</v>
      </c>
      <c r="F35" s="34">
        <v>1055.3109999999999</v>
      </c>
      <c r="G35" s="34">
        <v>969.21</v>
      </c>
      <c r="H35" s="34">
        <v>1133.431</v>
      </c>
      <c r="I35" s="34">
        <v>1078.693</v>
      </c>
      <c r="J35" s="34">
        <v>1144.03</v>
      </c>
      <c r="K35" s="34">
        <v>1221.4100000000001</v>
      </c>
      <c r="L35" s="34">
        <v>1190.8820000000001</v>
      </c>
      <c r="M35" s="34">
        <v>926.36199999999997</v>
      </c>
      <c r="N35" s="34">
        <v>937.38400000000001</v>
      </c>
      <c r="O35" s="34">
        <v>943.61400000000003</v>
      </c>
      <c r="P35" s="34">
        <f>SUM(D35:O35)</f>
        <v>12814.081999999999</v>
      </c>
      <c r="R35" s="2"/>
      <c r="T35" s="7"/>
    </row>
    <row r="36" spans="2:20" s="3" customFormat="1" ht="18" customHeight="1" thickTop="1" thickBot="1">
      <c r="B36" s="260"/>
      <c r="C36" s="29" t="s">
        <v>14</v>
      </c>
      <c r="D36" s="34">
        <v>461.90300000000002</v>
      </c>
      <c r="E36" s="34">
        <v>438.29199999999997</v>
      </c>
      <c r="F36" s="34">
        <v>502.97300000000001</v>
      </c>
      <c r="G36" s="34">
        <v>439.22300000000001</v>
      </c>
      <c r="H36" s="34">
        <v>508.80500000000001</v>
      </c>
      <c r="I36" s="34">
        <v>459.86</v>
      </c>
      <c r="J36" s="34">
        <v>372.96100000000001</v>
      </c>
      <c r="K36" s="34">
        <v>437.803</v>
      </c>
      <c r="L36" s="34">
        <v>502.9</v>
      </c>
      <c r="M36" s="34">
        <v>429.041</v>
      </c>
      <c r="N36" s="34">
        <v>426.69299999999998</v>
      </c>
      <c r="O36" s="34">
        <v>433.31400000000002</v>
      </c>
      <c r="P36" s="34">
        <f>SUM(D36:O36)</f>
        <v>5413.768</v>
      </c>
      <c r="R36" s="2"/>
      <c r="T36" s="7"/>
    </row>
    <row r="37" spans="2:20" s="3" customFormat="1" ht="18" customHeight="1" thickTop="1" thickBot="1">
      <c r="B37" s="260"/>
      <c r="C37" s="29" t="s">
        <v>8</v>
      </c>
      <c r="D37" s="34">
        <v>1631.107</v>
      </c>
      <c r="E37" s="34">
        <v>1482.8429999999998</v>
      </c>
      <c r="F37" s="34">
        <v>1558.2839999999999</v>
      </c>
      <c r="G37" s="34">
        <v>1408.433</v>
      </c>
      <c r="H37" s="34">
        <v>1642.2360000000001</v>
      </c>
      <c r="I37" s="34">
        <v>1538.5529999999999</v>
      </c>
      <c r="J37" s="34">
        <v>1516.991</v>
      </c>
      <c r="K37" s="34">
        <v>1659.2130000000002</v>
      </c>
      <c r="L37" s="34">
        <v>1693.7820000000002</v>
      </c>
      <c r="M37" s="34">
        <v>1355.403</v>
      </c>
      <c r="N37" s="34">
        <v>1364.077</v>
      </c>
      <c r="O37" s="34">
        <v>1376.9280000000001</v>
      </c>
      <c r="P37" s="34">
        <f>SUM(D37:O37)</f>
        <v>18227.849999999999</v>
      </c>
      <c r="R37" s="7">
        <f>+D37+E37+F37+G37+H37</f>
        <v>7722.9029999999993</v>
      </c>
      <c r="T37" s="7">
        <f>+D37+E37+F37+G37</f>
        <v>6080.6669999999995</v>
      </c>
    </row>
    <row r="38" spans="2:20" s="3" customFormat="1" ht="18" customHeight="1" thickTop="1" thickBot="1">
      <c r="B38" s="260"/>
      <c r="C38" s="32" t="s">
        <v>67</v>
      </c>
      <c r="D38" s="35">
        <v>-7.5218942371289505E-3</v>
      </c>
      <c r="E38" s="35">
        <v>-6.6403788170215847E-2</v>
      </c>
      <c r="F38" s="35">
        <v>-8.7862944483337535E-2</v>
      </c>
      <c r="G38" s="35">
        <v>-8.8077101132107191E-2</v>
      </c>
      <c r="H38" s="35">
        <v>4.2945128139340857E-2</v>
      </c>
      <c r="I38" s="35">
        <v>-1.3321148573902129E-2</v>
      </c>
      <c r="J38" s="35">
        <v>-1.3038123499135648E-2</v>
      </c>
      <c r="K38" s="35">
        <v>1.7642390312356069E-2</v>
      </c>
      <c r="L38" s="35">
        <v>7.6215250420629571E-2</v>
      </c>
      <c r="M38" s="35">
        <v>-0.16075728577346191</v>
      </c>
      <c r="N38" s="35">
        <v>-5.4046669482175215E-2</v>
      </c>
      <c r="O38" s="35">
        <v>-8.9944250387471364E-2</v>
      </c>
      <c r="P38" s="35">
        <f>(P37-'Producción Acero Crudo 2014'!P37)/'Producción Acero Crudo 2014'!P37</f>
        <v>-3.7089069043204831E-2</v>
      </c>
      <c r="R38" s="2"/>
      <c r="T38" s="7"/>
    </row>
    <row r="39" spans="2:20" ht="18" customHeight="1" thickTop="1" thickBot="1">
      <c r="B39" s="260" t="s">
        <v>6</v>
      </c>
      <c r="C39" s="29" t="s">
        <v>13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4">
        <f>SUM(D39:O39)</f>
        <v>0</v>
      </c>
      <c r="T39" s="7"/>
    </row>
    <row r="40" spans="2:20" ht="18" customHeight="1" thickTop="1" thickBot="1">
      <c r="B40" s="260"/>
      <c r="C40" s="29" t="s">
        <v>14</v>
      </c>
      <c r="D40" s="30">
        <v>1.1000000000000001</v>
      </c>
      <c r="E40" s="30">
        <v>3.305499175</v>
      </c>
      <c r="F40" s="30">
        <v>3.470500952000001</v>
      </c>
      <c r="G40" s="30">
        <v>3.6442445450000003</v>
      </c>
      <c r="H40" s="30">
        <v>3.8267299540000002</v>
      </c>
      <c r="I40" s="30">
        <v>4.0179571790000006</v>
      </c>
      <c r="J40" s="30">
        <v>4.2190189470000012</v>
      </c>
      <c r="K40" s="30">
        <v>4.4299152580000003</v>
      </c>
      <c r="L40" s="30">
        <v>4.651738839000001</v>
      </c>
      <c r="M40" s="30">
        <v>4.8844896900000006</v>
      </c>
      <c r="N40" s="30">
        <v>5.1292605380000005</v>
      </c>
      <c r="O40" s="30">
        <v>5.3860513830000007</v>
      </c>
      <c r="P40" s="34">
        <f>SUM(D40:O40)</f>
        <v>48.065406460000013</v>
      </c>
      <c r="T40" s="7"/>
    </row>
    <row r="41" spans="2:20" ht="18" customHeight="1" thickTop="1" thickBot="1">
      <c r="B41" s="260"/>
      <c r="C41" s="29" t="s">
        <v>8</v>
      </c>
      <c r="D41" s="30">
        <v>1.1000000000000001</v>
      </c>
      <c r="E41" s="30">
        <v>3.305499175</v>
      </c>
      <c r="F41" s="30">
        <v>3.470500952000001</v>
      </c>
      <c r="G41" s="30">
        <v>3.6442445450000003</v>
      </c>
      <c r="H41" s="30">
        <v>3.8267299540000002</v>
      </c>
      <c r="I41" s="30">
        <v>4.0179571790000006</v>
      </c>
      <c r="J41" s="30">
        <v>4.2190189470000012</v>
      </c>
      <c r="K41" s="30">
        <v>4.4299152580000003</v>
      </c>
      <c r="L41" s="30">
        <v>4.651738839000001</v>
      </c>
      <c r="M41" s="30">
        <v>4.8844896900000006</v>
      </c>
      <c r="N41" s="30">
        <v>5.1292605380000005</v>
      </c>
      <c r="O41" s="30">
        <v>5.3860513830000007</v>
      </c>
      <c r="P41" s="34">
        <f>SUM(D41:O41)</f>
        <v>48.065406460000013</v>
      </c>
      <c r="R41" s="7">
        <f>+D41+E41+F41+G41+H41</f>
        <v>15.346974626000002</v>
      </c>
      <c r="T41" s="7">
        <f>+D41+E41+F41+G41</f>
        <v>11.520244672</v>
      </c>
    </row>
    <row r="42" spans="2:20" ht="18" customHeight="1" thickTop="1" thickBot="1">
      <c r="B42" s="260"/>
      <c r="C42" s="32" t="s">
        <v>67</v>
      </c>
      <c r="D42" s="37">
        <v>-3.006969125619282E-2</v>
      </c>
      <c r="E42" s="37">
        <v>2.9999999999999975E-2</v>
      </c>
      <c r="F42" s="37">
        <v>3.0000000000000075E-2</v>
      </c>
      <c r="G42" s="37">
        <v>3.0000000000000013E-2</v>
      </c>
      <c r="H42" s="37">
        <v>3.0000000000000037E-2</v>
      </c>
      <c r="I42" s="37">
        <v>3.0000000000000027E-2</v>
      </c>
      <c r="J42" s="37">
        <v>3.0000000000000075E-2</v>
      </c>
      <c r="K42" s="37">
        <v>2.9999999999999975E-2</v>
      </c>
      <c r="L42" s="37">
        <v>3.0000000000000117E-2</v>
      </c>
      <c r="M42" s="35">
        <v>3.00000000000001E-2</v>
      </c>
      <c r="N42" s="35">
        <v>3.0000000000000103E-2</v>
      </c>
      <c r="O42" s="35">
        <v>2.9999999999999947E-2</v>
      </c>
      <c r="P42" s="35">
        <f>(P41-'Producción Acero Crudo 2014'!P41)/'Producción Acero Crudo 2014'!P41</f>
        <v>2.8542203002273277E-2</v>
      </c>
      <c r="T42" s="7"/>
    </row>
    <row r="43" spans="2:20" s="3" customFormat="1" ht="18" customHeight="1" thickTop="1" thickBot="1">
      <c r="B43" s="261" t="s">
        <v>21</v>
      </c>
      <c r="C43" s="29" t="s">
        <v>13</v>
      </c>
      <c r="D43" s="34">
        <v>86.358999999999995</v>
      </c>
      <c r="E43" s="34">
        <v>82.039000000000001</v>
      </c>
      <c r="F43" s="34">
        <v>92.344999999999999</v>
      </c>
      <c r="G43" s="34">
        <v>89.483999999999995</v>
      </c>
      <c r="H43" s="34">
        <v>87.906999999999996</v>
      </c>
      <c r="I43" s="34">
        <v>93.003</v>
      </c>
      <c r="J43" s="30">
        <v>91.656000000000006</v>
      </c>
      <c r="K43" s="30">
        <v>79.025999999999996</v>
      </c>
      <c r="L43" s="30">
        <v>92.513999999999996</v>
      </c>
      <c r="M43" s="30">
        <v>97.533000000000001</v>
      </c>
      <c r="N43" s="30">
        <v>94.918999999999997</v>
      </c>
      <c r="O43" s="30">
        <v>94.841999999999999</v>
      </c>
      <c r="P43" s="34">
        <f>SUM(D43:O43)</f>
        <v>1081.627</v>
      </c>
      <c r="R43" s="2"/>
      <c r="T43" s="7"/>
    </row>
    <row r="44" spans="2:20" s="3" customFormat="1" ht="18" customHeight="1" thickTop="1" thickBot="1">
      <c r="B44" s="261"/>
      <c r="C44" s="29" t="s">
        <v>14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4">
        <f>SUM(D44:O44)</f>
        <v>0</v>
      </c>
      <c r="R44" s="2"/>
      <c r="T44" s="7"/>
    </row>
    <row r="45" spans="2:20" s="3" customFormat="1" ht="18" customHeight="1" thickTop="1" thickBot="1">
      <c r="B45" s="261"/>
      <c r="C45" s="29" t="s">
        <v>8</v>
      </c>
      <c r="D45" s="34">
        <v>86.358999999999995</v>
      </c>
      <c r="E45" s="34">
        <v>82.039000000000001</v>
      </c>
      <c r="F45" s="34">
        <v>92.344999999999999</v>
      </c>
      <c r="G45" s="34">
        <v>89.483999999999995</v>
      </c>
      <c r="H45" s="34">
        <v>87.906999999999996</v>
      </c>
      <c r="I45" s="34">
        <v>93.003</v>
      </c>
      <c r="J45" s="30">
        <v>91.656000000000006</v>
      </c>
      <c r="K45" s="30">
        <v>79.025999999999996</v>
      </c>
      <c r="L45" s="30">
        <v>92.513999999999996</v>
      </c>
      <c r="M45" s="30">
        <v>97.533000000000001</v>
      </c>
      <c r="N45" s="30">
        <v>94.918999999999997</v>
      </c>
      <c r="O45" s="30">
        <v>94.841999999999999</v>
      </c>
      <c r="P45" s="34">
        <f>SUM(D45:O45)</f>
        <v>1081.627</v>
      </c>
      <c r="R45" s="7">
        <f>+D45+E45+F45+G45+H45</f>
        <v>438.13399999999996</v>
      </c>
      <c r="T45" s="7">
        <f>+D45+E45+F45+G45</f>
        <v>350.22699999999998</v>
      </c>
    </row>
    <row r="46" spans="2:20" s="3" customFormat="1" ht="18" customHeight="1" thickTop="1" thickBot="1">
      <c r="B46" s="261"/>
      <c r="C46" s="32" t="s">
        <v>67</v>
      </c>
      <c r="D46" s="35">
        <v>-7.5385438972162849E-2</v>
      </c>
      <c r="E46" s="35">
        <v>-3.2296495511754363E-2</v>
      </c>
      <c r="F46" s="35">
        <v>-4.4166356146234383E-2</v>
      </c>
      <c r="G46" s="35">
        <v>-2.3746613599117928E-3</v>
      </c>
      <c r="H46" s="35">
        <v>-2.8727059785431053E-2</v>
      </c>
      <c r="I46" s="35">
        <v>5.8174991466605978E-2</v>
      </c>
      <c r="J46" s="37">
        <v>-1.9102963367258446E-2</v>
      </c>
      <c r="K46" s="37">
        <v>5.9684880992289552E-2</v>
      </c>
      <c r="L46" s="37">
        <v>2.5699587564858729E-2</v>
      </c>
      <c r="M46" s="35">
        <v>5.8243367872836703E-2</v>
      </c>
      <c r="N46" s="35">
        <v>5.4304120848605975E-2</v>
      </c>
      <c r="O46" s="35">
        <v>-1.5813276827224737E-4</v>
      </c>
      <c r="P46" s="35">
        <f>(P45-'Producción Acero Crudo 2014'!P45)/'Producción Acero Crudo 2014'!P45</f>
        <v>3.2277602219361462E-3</v>
      </c>
      <c r="R46" s="2"/>
      <c r="T46" s="7"/>
    </row>
    <row r="47" spans="2:20" s="3" customFormat="1" ht="18" customHeight="1" thickTop="1" thickBot="1">
      <c r="B47" s="261" t="s">
        <v>38</v>
      </c>
      <c r="C47" s="29" t="s">
        <v>13</v>
      </c>
      <c r="D47" s="30">
        <v>35</v>
      </c>
      <c r="E47" s="30">
        <v>36.049999999999997</v>
      </c>
      <c r="F47" s="30">
        <v>37.131999999999998</v>
      </c>
      <c r="G47" s="30">
        <v>38.988999999999997</v>
      </c>
      <c r="H47" s="30">
        <v>46.495533850000001</v>
      </c>
      <c r="I47" s="30">
        <v>48.820856905999996</v>
      </c>
      <c r="J47" s="30">
        <v>51.262009024000001</v>
      </c>
      <c r="K47" s="30">
        <v>53.825546566000014</v>
      </c>
      <c r="L47" s="30">
        <v>56.516933167000005</v>
      </c>
      <c r="M47" s="30">
        <v>59.342725189000006</v>
      </c>
      <c r="N47" s="30">
        <v>62.309478994000003</v>
      </c>
      <c r="O47" s="30">
        <v>65.424843671000005</v>
      </c>
      <c r="P47" s="34">
        <f>SUM(D47:O47)</f>
        <v>591.16892736699992</v>
      </c>
      <c r="R47" s="2"/>
      <c r="T47" s="7"/>
    </row>
    <row r="48" spans="2:20" s="3" customFormat="1" ht="18" customHeight="1" thickTop="1" thickBot="1">
      <c r="B48" s="261"/>
      <c r="C48" s="29" t="s">
        <v>14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4">
        <f>SUM(D48:O48)</f>
        <v>0</v>
      </c>
      <c r="R48" s="2"/>
      <c r="T48" s="7"/>
    </row>
    <row r="49" spans="2:20" s="3" customFormat="1" ht="18" customHeight="1" thickTop="1" thickBot="1">
      <c r="B49" s="261"/>
      <c r="C49" s="29" t="s">
        <v>8</v>
      </c>
      <c r="D49" s="30">
        <v>35</v>
      </c>
      <c r="E49" s="30">
        <v>36.049999999999997</v>
      </c>
      <c r="F49" s="30">
        <v>37.131999999999998</v>
      </c>
      <c r="G49" s="30">
        <v>38.988999999999997</v>
      </c>
      <c r="H49" s="30">
        <v>46.495533850000001</v>
      </c>
      <c r="I49" s="30">
        <v>48.820856905999996</v>
      </c>
      <c r="J49" s="30">
        <v>51.262009024000001</v>
      </c>
      <c r="K49" s="30">
        <v>53.825546566000014</v>
      </c>
      <c r="L49" s="30">
        <v>56.516933167000005</v>
      </c>
      <c r="M49" s="30">
        <v>59.342725189000006</v>
      </c>
      <c r="N49" s="30">
        <v>62.309478994000003</v>
      </c>
      <c r="O49" s="30">
        <v>65.424843671000005</v>
      </c>
      <c r="P49" s="34">
        <f>SUM(D49:O49)</f>
        <v>591.16892736699992</v>
      </c>
      <c r="R49" s="7">
        <f>+D49+E49+F49+G49+H49</f>
        <v>193.66653385000001</v>
      </c>
      <c r="T49" s="7">
        <f>+D49+E49+F49+G49</f>
        <v>147.17099999999999</v>
      </c>
    </row>
    <row r="50" spans="2:20" s="3" customFormat="1" ht="18" customHeight="1" thickTop="1" thickBot="1">
      <c r="B50" s="261"/>
      <c r="C50" s="32" t="s">
        <v>67</v>
      </c>
      <c r="D50" s="35">
        <v>-5.7565651040352897E-2</v>
      </c>
      <c r="E50" s="35">
        <v>-7.5509235926873433E-2</v>
      </c>
      <c r="F50" s="35">
        <v>-9.311107172217023E-2</v>
      </c>
      <c r="G50" s="37">
        <v>-9.3108481363736589E-2</v>
      </c>
      <c r="H50" s="37">
        <v>3.0000000000000034E-2</v>
      </c>
      <c r="I50" s="37">
        <v>2.9999999999999985E-2</v>
      </c>
      <c r="J50" s="37">
        <v>2.9999999999999961E-2</v>
      </c>
      <c r="K50" s="37">
        <v>3.0000000000000058E-2</v>
      </c>
      <c r="L50" s="37">
        <v>3.0000000000000086E-2</v>
      </c>
      <c r="M50" s="35">
        <v>2.9999999999999995E-2</v>
      </c>
      <c r="N50" s="35">
        <v>3.0000000000000016E-2</v>
      </c>
      <c r="O50" s="35">
        <v>2.9999999999999992E-2</v>
      </c>
      <c r="P50" s="35">
        <f>(P49-'Producción Acero Crudo 2014'!P49)/'Producción Acero Crudo 2014'!P49</f>
        <v>5.8170288861207476E-5</v>
      </c>
      <c r="R50" s="2"/>
      <c r="T50" s="7"/>
    </row>
    <row r="51" spans="2:20" s="3" customFormat="1" ht="18" customHeight="1" thickTop="1" thickBot="1">
      <c r="B51" s="260" t="s">
        <v>7</v>
      </c>
      <c r="C51" s="29" t="s">
        <v>13</v>
      </c>
      <c r="D51" s="34">
        <v>1</v>
      </c>
      <c r="E51" s="30">
        <v>6.7897600000000011</v>
      </c>
      <c r="F51" s="30">
        <v>7.1292479999999996</v>
      </c>
      <c r="G51" s="30">
        <v>7.4857104000000003</v>
      </c>
      <c r="H51" s="30">
        <v>7.8602081000000004</v>
      </c>
      <c r="I51" s="30">
        <v>8.2527411000000015</v>
      </c>
      <c r="J51" s="30">
        <v>8.6654311999999987</v>
      </c>
      <c r="K51" s="30">
        <v>9.0982783999999999</v>
      </c>
      <c r="L51" s="30">
        <v>9.5534045000000027</v>
      </c>
      <c r="M51" s="30">
        <v>10.0308095</v>
      </c>
      <c r="N51" s="30">
        <v>10.532615200000002</v>
      </c>
      <c r="O51" s="30">
        <v>11.0588216</v>
      </c>
      <c r="P51" s="34">
        <f>SUM(D51:O51)</f>
        <v>97.457028000000022</v>
      </c>
      <c r="R51" s="2"/>
      <c r="T51" s="7"/>
    </row>
    <row r="52" spans="2:20" s="3" customFormat="1" ht="18" customHeight="1" thickTop="1" thickBot="1">
      <c r="B52" s="260"/>
      <c r="C52" s="29" t="s">
        <v>14</v>
      </c>
      <c r="D52" s="34"/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4">
        <f>SUM(D52:O52)</f>
        <v>0</v>
      </c>
      <c r="R52" s="2"/>
      <c r="T52" s="7"/>
    </row>
    <row r="53" spans="2:20" s="3" customFormat="1" ht="18" customHeight="1" thickTop="1" thickBot="1">
      <c r="B53" s="260"/>
      <c r="C53" s="29" t="s">
        <v>8</v>
      </c>
      <c r="D53" s="34">
        <v>1</v>
      </c>
      <c r="E53" s="30">
        <v>6.7897600000000011</v>
      </c>
      <c r="F53" s="30">
        <v>7.1292479999999996</v>
      </c>
      <c r="G53" s="30">
        <v>7.4857104000000003</v>
      </c>
      <c r="H53" s="30">
        <v>7.8602081000000004</v>
      </c>
      <c r="I53" s="30">
        <v>8.2527411000000015</v>
      </c>
      <c r="J53" s="30">
        <v>8.6654311999999987</v>
      </c>
      <c r="K53" s="30">
        <v>9.0982783999999999</v>
      </c>
      <c r="L53" s="30">
        <v>9.5534045000000027</v>
      </c>
      <c r="M53" s="30">
        <v>10.0308095</v>
      </c>
      <c r="N53" s="30">
        <v>10.532615200000002</v>
      </c>
      <c r="O53" s="30">
        <v>11.0588216</v>
      </c>
      <c r="P53" s="34">
        <f>SUM(D53:O53)</f>
        <v>97.457028000000022</v>
      </c>
      <c r="R53" s="7">
        <f>+D53+E53+F53+G53+H53</f>
        <v>30.264926500000001</v>
      </c>
      <c r="T53" s="7">
        <f>+D53+E53+F53+G53</f>
        <v>22.4047184</v>
      </c>
    </row>
    <row r="54" spans="2:20" s="3" customFormat="1" ht="18" customHeight="1" thickTop="1" thickBot="1">
      <c r="B54" s="260"/>
      <c r="C54" s="32" t="s">
        <v>67</v>
      </c>
      <c r="D54" s="35" t="e">
        <v>#DIV/0!</v>
      </c>
      <c r="E54" s="37">
        <v>3.0000000000000089E-2</v>
      </c>
      <c r="F54" s="37">
        <v>2.9999999999999978E-2</v>
      </c>
      <c r="G54" s="35">
        <v>2.9999999999999992E-2</v>
      </c>
      <c r="H54" s="37">
        <v>3.0000000000000079E-2</v>
      </c>
      <c r="I54" s="37">
        <v>3.0000000000000103E-2</v>
      </c>
      <c r="J54" s="37">
        <v>2.9999999999999995E-2</v>
      </c>
      <c r="K54" s="37">
        <v>2.9999999999999957E-2</v>
      </c>
      <c r="L54" s="37">
        <v>3.0000000000000096E-2</v>
      </c>
      <c r="M54" s="35">
        <v>3.0000000000000037E-2</v>
      </c>
      <c r="N54" s="35">
        <v>3.0000000000000051E-2</v>
      </c>
      <c r="O54" s="35">
        <v>2.9999999999999988E-2</v>
      </c>
      <c r="P54" s="35">
        <f>(P53-'Producción Acero Crudo 2014'!P53)/'Producción Acero Crudo 2014'!P53</f>
        <v>4.0678330250855446E-2</v>
      </c>
      <c r="R54" s="2"/>
      <c r="T54" s="7"/>
    </row>
    <row r="55" spans="2:20" s="3" customFormat="1" ht="18" customHeight="1" thickTop="1" thickBot="1">
      <c r="B55" s="260" t="s">
        <v>3</v>
      </c>
      <c r="C55" s="29" t="s">
        <v>13</v>
      </c>
      <c r="D55" s="34">
        <v>131.27000000000001</v>
      </c>
      <c r="E55" s="34">
        <v>141.61099999999999</v>
      </c>
      <c r="F55" s="34">
        <v>170.23400000000001</v>
      </c>
      <c r="G55" s="34">
        <v>80.805999999999997</v>
      </c>
      <c r="H55" s="34">
        <v>85.460999999999999</v>
      </c>
      <c r="I55" s="34">
        <v>120.98699999999999</v>
      </c>
      <c r="J55" s="34">
        <v>135.416</v>
      </c>
      <c r="K55" s="34">
        <v>91.941999999999993</v>
      </c>
      <c r="L55" s="30">
        <v>94.206000000000003</v>
      </c>
      <c r="M55" s="34">
        <v>77.034000000000006</v>
      </c>
      <c r="N55" s="34">
        <v>99.826999999999998</v>
      </c>
      <c r="O55" s="34">
        <v>116.468</v>
      </c>
      <c r="P55" s="34">
        <f>SUM(D55:O55)</f>
        <v>1345.2620000000002</v>
      </c>
      <c r="R55" s="2"/>
      <c r="T55" s="7"/>
    </row>
    <row r="56" spans="2:20" s="3" customFormat="1" ht="18" customHeight="1" thickTop="1" thickBot="1">
      <c r="B56" s="260"/>
      <c r="C56" s="29" t="s">
        <v>14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0">
        <v>0</v>
      </c>
      <c r="M56" s="34">
        <v>0</v>
      </c>
      <c r="N56" s="34">
        <v>0</v>
      </c>
      <c r="O56" s="34">
        <v>0</v>
      </c>
      <c r="P56" s="34">
        <f>SUM(D56:O56)</f>
        <v>0</v>
      </c>
      <c r="R56" s="2"/>
      <c r="T56" s="7"/>
    </row>
    <row r="57" spans="2:20" s="3" customFormat="1" ht="18" customHeight="1" thickTop="1" thickBot="1">
      <c r="B57" s="260"/>
      <c r="C57" s="29" t="s">
        <v>8</v>
      </c>
      <c r="D57" s="34">
        <v>131.27000000000001</v>
      </c>
      <c r="E57" s="34">
        <v>141.61099999999999</v>
      </c>
      <c r="F57" s="34">
        <v>170.23400000000001</v>
      </c>
      <c r="G57" s="34">
        <v>80.805999999999997</v>
      </c>
      <c r="H57" s="34">
        <v>85.460999999999999</v>
      </c>
      <c r="I57" s="34">
        <v>120.98699999999999</v>
      </c>
      <c r="J57" s="34">
        <v>135.416</v>
      </c>
      <c r="K57" s="34">
        <v>91.941999999999993</v>
      </c>
      <c r="L57" s="30">
        <v>94.206000000000003</v>
      </c>
      <c r="M57" s="34">
        <v>77.034000000000006</v>
      </c>
      <c r="N57" s="34">
        <v>99.826999999999998</v>
      </c>
      <c r="O57" s="34">
        <v>116.468</v>
      </c>
      <c r="P57" s="34">
        <f>SUM(D57:O57)</f>
        <v>1345.2620000000002</v>
      </c>
      <c r="R57" s="7">
        <f>+D57+E57+F57+G57+H57</f>
        <v>609.38200000000006</v>
      </c>
      <c r="T57" s="7">
        <f>+D57+E57+F57+G57</f>
        <v>523.92100000000005</v>
      </c>
    </row>
    <row r="58" spans="2:20" s="3" customFormat="1" ht="18" customHeight="1" thickTop="1" thickBot="1">
      <c r="B58" s="260"/>
      <c r="C58" s="32" t="s">
        <v>67</v>
      </c>
      <c r="D58" s="35">
        <v>-0.17612281274320277</v>
      </c>
      <c r="E58" s="35">
        <v>0.16519657050701847</v>
      </c>
      <c r="F58" s="35">
        <v>0.56627747568706477</v>
      </c>
      <c r="G58" s="35">
        <v>-0.47058630833437071</v>
      </c>
      <c r="H58" s="35">
        <v>-0.14414901607330635</v>
      </c>
      <c r="I58" s="35">
        <v>0.40321963326799726</v>
      </c>
      <c r="J58" s="35">
        <v>0.29633068800796469</v>
      </c>
      <c r="K58" s="35">
        <v>-5.5862479719044705E-2</v>
      </c>
      <c r="L58" s="37">
        <v>-8.8317268609917468E-2</v>
      </c>
      <c r="M58" s="35">
        <v>-0.52253034003148668</v>
      </c>
      <c r="N58" s="35">
        <v>-0.29483774352598791</v>
      </c>
      <c r="O58" s="35">
        <v>-0.21522808436089208</v>
      </c>
      <c r="P58" s="35">
        <f>(P57-'Producción Acero Crudo 2014'!P57)/'Producción Acero Crudo 2014'!P57</f>
        <v>-9.3947739385257065E-2</v>
      </c>
      <c r="R58" s="2"/>
      <c r="T58" s="7"/>
    </row>
    <row r="59" spans="2:20" s="3" customFormat="1" ht="18" customHeight="1" thickTop="1">
      <c r="B59" s="262" t="s">
        <v>39</v>
      </c>
      <c r="C59" s="29" t="s">
        <v>13</v>
      </c>
      <c r="D59" s="34">
        <f>+D3+D7+D11+D15+D19+D23+D27+D31+D35+D39+D43+D47+D51+D55</f>
        <v>2296.4251999999997</v>
      </c>
      <c r="E59" s="34">
        <f t="shared" ref="E59:O61" si="1">+E3+E7+E11+E15+E19+E23+E27+E31+E35+E39+E43+E47+E51+E55</f>
        <v>2205.03316</v>
      </c>
      <c r="F59" s="34">
        <f t="shared" si="1"/>
        <v>2363.4795479999998</v>
      </c>
      <c r="G59" s="34">
        <f t="shared" si="1"/>
        <v>2089.4062104</v>
      </c>
      <c r="H59" s="34">
        <f t="shared" si="1"/>
        <v>2280.4959768499998</v>
      </c>
      <c r="I59" s="34">
        <f t="shared" si="1"/>
        <v>2232.6243166059999</v>
      </c>
      <c r="J59" s="34">
        <f t="shared" si="1"/>
        <v>2348.910928024</v>
      </c>
      <c r="K59" s="34">
        <f t="shared" si="1"/>
        <v>2454.2966110659995</v>
      </c>
      <c r="L59" s="34">
        <f t="shared" si="1"/>
        <v>2247.697916567</v>
      </c>
      <c r="M59" s="34">
        <f t="shared" si="1"/>
        <v>2223.1277444889997</v>
      </c>
      <c r="N59" s="34">
        <f t="shared" si="1"/>
        <v>2122.0365383939998</v>
      </c>
      <c r="O59" s="34">
        <f t="shared" si="1"/>
        <v>1863.6850127710002</v>
      </c>
      <c r="P59" s="34">
        <f>SUM(D59:O59)</f>
        <v>26727.219163166999</v>
      </c>
      <c r="R59" s="2"/>
      <c r="T59" s="7"/>
    </row>
    <row r="60" spans="2:20" s="3" customFormat="1" ht="18" customHeight="1">
      <c r="B60" s="263"/>
      <c r="C60" s="29" t="s">
        <v>14</v>
      </c>
      <c r="D60" s="34">
        <f>+D4+D8+D12+D16+D20+D24+D28+D32+D36+D40+D44+D48+D52+D56</f>
        <v>3157.7736</v>
      </c>
      <c r="E60" s="34">
        <f t="shared" si="1"/>
        <v>2787.1781991749995</v>
      </c>
      <c r="F60" s="34">
        <f t="shared" si="1"/>
        <v>2906.4046009519998</v>
      </c>
      <c r="G60" s="34">
        <f t="shared" si="1"/>
        <v>3013.309844545</v>
      </c>
      <c r="H60" s="34">
        <f t="shared" si="1"/>
        <v>3197.7741299539994</v>
      </c>
      <c r="I60" s="34">
        <f t="shared" si="1"/>
        <v>3019.8870571789998</v>
      </c>
      <c r="J60" s="34">
        <f t="shared" si="1"/>
        <v>2992.5607189470002</v>
      </c>
      <c r="K60" s="34">
        <f t="shared" si="1"/>
        <v>2951.7000152580003</v>
      </c>
      <c r="L60" s="34">
        <f t="shared" si="1"/>
        <v>2874.3941388389999</v>
      </c>
      <c r="M60" s="34">
        <f t="shared" si="1"/>
        <v>3082.2836896900003</v>
      </c>
      <c r="N60" s="34">
        <f t="shared" si="1"/>
        <v>2726.6711605380001</v>
      </c>
      <c r="O60" s="34">
        <f t="shared" si="1"/>
        <v>2880.7390513830001</v>
      </c>
      <c r="P60" s="34">
        <f>SUM(D60:O60)</f>
        <v>35590.676206460004</v>
      </c>
      <c r="R60" s="2"/>
      <c r="T60" s="7"/>
    </row>
    <row r="61" spans="2:20" s="3" customFormat="1" ht="18" customHeight="1">
      <c r="B61" s="263"/>
      <c r="C61" s="29" t="s">
        <v>8</v>
      </c>
      <c r="D61" s="34">
        <f>+D5+D9+D13+D17+D21+D25+D29+D33+D37+D41+D45+D49+D53+D57</f>
        <v>5567.354800000001</v>
      </c>
      <c r="E61" s="34">
        <f t="shared" si="1"/>
        <v>5105.3673591749985</v>
      </c>
      <c r="F61" s="34">
        <f t="shared" si="1"/>
        <v>5383.0401489520009</v>
      </c>
      <c r="G61" s="34">
        <f t="shared" si="1"/>
        <v>5215.872054944999</v>
      </c>
      <c r="H61" s="34">
        <f t="shared" si="1"/>
        <v>5591.4261068040005</v>
      </c>
      <c r="I61" s="34">
        <f t="shared" si="1"/>
        <v>5365.6673737849987</v>
      </c>
      <c r="J61" s="34">
        <f t="shared" si="1"/>
        <v>5454.6276469709992</v>
      </c>
      <c r="K61" s="34">
        <f t="shared" si="1"/>
        <v>5519.1526263240003</v>
      </c>
      <c r="L61" s="34">
        <f t="shared" si="1"/>
        <v>5235.2480554060012</v>
      </c>
      <c r="M61" s="34">
        <f t="shared" si="1"/>
        <v>5418.567434179</v>
      </c>
      <c r="N61" s="34">
        <f t="shared" si="1"/>
        <v>4961.8636989319994</v>
      </c>
      <c r="O61" s="34">
        <f t="shared" si="1"/>
        <v>4857.5800641540009</v>
      </c>
      <c r="P61" s="34">
        <f>SUM(D61:O61)</f>
        <v>63675.767369627007</v>
      </c>
      <c r="R61" s="7">
        <f>+D61+E61+F61+G61+H61</f>
        <v>26863.060469876</v>
      </c>
      <c r="T61" s="7">
        <f>+D61+E61+F61+G61</f>
        <v>21271.634363072</v>
      </c>
    </row>
    <row r="62" spans="2:20" s="3" customFormat="1" ht="18" customHeight="1" thickBot="1">
      <c r="B62" s="264"/>
      <c r="C62" s="32" t="s">
        <v>67</v>
      </c>
      <c r="D62" s="35">
        <f>(D61-'Producción Acero Crudo 2014'!D61)/'Producción Acero Crudo 2014'!D61</f>
        <v>3.7625183278938872E-2</v>
      </c>
      <c r="E62" s="35">
        <f>(E61-'Producción Acero Crudo 2014'!E61)/'Producción Acero Crudo 2014'!E61</f>
        <v>2.4311628718826387E-4</v>
      </c>
      <c r="F62" s="35">
        <f>(F61-'Producción Acero Crudo 2014'!F61)/'Producción Acero Crudo 2014'!F61</f>
        <v>-6.5809671271230219E-2</v>
      </c>
      <c r="G62" s="35">
        <f>(G61-'Producción Acero Crudo 2014'!G61)/'Producción Acero Crudo 2014'!G61</f>
        <v>-3.983625434695684E-2</v>
      </c>
      <c r="H62" s="35">
        <f>(H61-'Producción Acero Crudo 2014'!H61)/'Producción Acero Crudo 2014'!H61</f>
        <v>3.810775442187761E-2</v>
      </c>
      <c r="I62" s="35">
        <f>(I61-'Producción Acero Crudo 2014'!I61)/'Producción Acero Crudo 2014'!I61</f>
        <v>1.2753159826507165E-2</v>
      </c>
      <c r="J62" s="35">
        <f>(J61-'Producción Acero Crudo 2014'!J61)/'Producción Acero Crudo 2014'!J61</f>
        <v>-1.9279975645109668E-2</v>
      </c>
      <c r="K62" s="35">
        <f>(K61-'Producción Acero Crudo 2014'!K61)/'Producción Acero Crudo 2014'!K61</f>
        <v>-1.5762272103441919E-2</v>
      </c>
      <c r="L62" s="35">
        <f>(L61-'Producción Acero Crudo 2014'!L61)/'Producción Acero Crudo 2014'!L61</f>
        <v>-4.9531648779462388E-2</v>
      </c>
      <c r="M62" s="35">
        <f>(M61-'Producción Acero Crudo 2014'!M61)/'Producción Acero Crudo 2014'!M61</f>
        <v>-6.5965894947335596E-2</v>
      </c>
      <c r="N62" s="35">
        <f>(N61-'Producción Acero Crudo 2014'!N61)/'Producción Acero Crudo 2014'!N61</f>
        <v>-4.4904620350469639E-2</v>
      </c>
      <c r="O62" s="35">
        <f>(O61-'Producción Acero Crudo 2014'!O61)/'Producción Acero Crudo 2014'!O61</f>
        <v>-7.0182438936225292E-2</v>
      </c>
      <c r="P62" s="35">
        <f>(P61-'Producción Acero Crudo 2014'!P61)/'Producción Acero Crudo 2014'!P61</f>
        <v>-2.4073889283882734E-2</v>
      </c>
      <c r="R62" s="2"/>
      <c r="T62" s="7"/>
    </row>
    <row r="63" spans="2:20" ht="13.5" thickTop="1">
      <c r="B63" s="28"/>
      <c r="T63" s="7"/>
    </row>
    <row r="64" spans="2:20">
      <c r="B64" s="25" t="s">
        <v>19</v>
      </c>
      <c r="C64" s="25" t="s">
        <v>19</v>
      </c>
      <c r="P64" s="2">
        <f>+P61*(0.9)</f>
        <v>57308.190632664307</v>
      </c>
      <c r="T64" s="7"/>
    </row>
    <row r="65" spans="2:20">
      <c r="B65" s="26" t="s">
        <v>12</v>
      </c>
      <c r="C65" s="26" t="s">
        <v>12</v>
      </c>
      <c r="O65" s="2"/>
      <c r="T65" s="7"/>
    </row>
    <row r="66" spans="2:20">
      <c r="J66" s="7"/>
      <c r="O66" s="2"/>
      <c r="T66" s="7"/>
    </row>
    <row r="67" spans="2:20">
      <c r="B67" s="36" t="s">
        <v>160</v>
      </c>
    </row>
    <row r="68" spans="2:20">
      <c r="T68" s="7"/>
    </row>
    <row r="69" spans="2:20">
      <c r="T69" s="7"/>
    </row>
    <row r="70" spans="2:20">
      <c r="T70" s="7"/>
    </row>
    <row r="71" spans="2:20">
      <c r="T71" s="7"/>
    </row>
    <row r="73" spans="2:20">
      <c r="M73" s="7">
        <f>D59+E59+F59+G59+H59</f>
        <v>11234.84009525</v>
      </c>
      <c r="T73" s="7"/>
    </row>
    <row r="74" spans="2:20">
      <c r="M74" s="7">
        <f>D60+E60+F60+G60+H60</f>
        <v>15062.440374625998</v>
      </c>
      <c r="T74" s="7"/>
    </row>
    <row r="75" spans="2:20">
      <c r="M75" s="7">
        <f>D61+E61+F61+G61+H61</f>
        <v>26863.060469876</v>
      </c>
      <c r="T75" s="7"/>
    </row>
    <row r="76" spans="2:20">
      <c r="T76" s="7"/>
    </row>
    <row r="78" spans="2:20">
      <c r="T78" s="7"/>
    </row>
    <row r="79" spans="2:20">
      <c r="T79" s="7"/>
    </row>
    <row r="80" spans="2:20">
      <c r="T80" s="7"/>
    </row>
    <row r="81" spans="20:20">
      <c r="T81" s="7"/>
    </row>
    <row r="83" spans="20:20">
      <c r="T83" s="7"/>
    </row>
    <row r="84" spans="20:20">
      <c r="T84" s="7"/>
    </row>
    <row r="85" spans="20:20">
      <c r="T85" s="7"/>
    </row>
    <row r="86" spans="20:20">
      <c r="T86" s="7"/>
    </row>
  </sheetData>
  <mergeCells count="15">
    <mergeCell ref="B51:B54"/>
    <mergeCell ref="B55:B58"/>
    <mergeCell ref="B59:B62"/>
    <mergeCell ref="B27:B30"/>
    <mergeCell ref="B31:B34"/>
    <mergeCell ref="B35:B38"/>
    <mergeCell ref="B39:B42"/>
    <mergeCell ref="B43:B46"/>
    <mergeCell ref="B47:B50"/>
    <mergeCell ref="B23:B26"/>
    <mergeCell ref="B3:B6"/>
    <mergeCell ref="B7:B10"/>
    <mergeCell ref="B11:B14"/>
    <mergeCell ref="B15:B18"/>
    <mergeCell ref="B19:B22"/>
  </mergeCells>
  <hyperlinks>
    <hyperlink ref="P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Índice</vt:lpstr>
      <vt:lpstr>Macroeconomía</vt:lpstr>
      <vt:lpstr>Cifras gráficos</vt:lpstr>
      <vt:lpstr>Resumen Producción</vt:lpstr>
      <vt:lpstr>Resumen Comercio</vt:lpstr>
      <vt:lpstr>Producción Acero Crudo 2018</vt:lpstr>
      <vt:lpstr>Producción Acero Crudo 2017</vt:lpstr>
      <vt:lpstr>Producción Acero Crudo 2016</vt:lpstr>
      <vt:lpstr>Producción Acero Crudo 2015</vt:lpstr>
      <vt:lpstr>Producción Acero Crudo 2014</vt:lpstr>
      <vt:lpstr>Hierro Primario 2018</vt:lpstr>
      <vt:lpstr>Hierro Primario 2017</vt:lpstr>
      <vt:lpstr>Hierro Primario 2016</vt:lpstr>
      <vt:lpstr>Hierro Primario 2015</vt:lpstr>
      <vt:lpstr>Hierro Primario 2014</vt:lpstr>
      <vt:lpstr>Producción Laminados 2018</vt:lpstr>
      <vt:lpstr>Producción Laminados 2017</vt:lpstr>
      <vt:lpstr>Producción Laminados 2016</vt:lpstr>
      <vt:lpstr>Producción Laminados 2015</vt:lpstr>
      <vt:lpstr>Producción Laminados 2014</vt:lpstr>
      <vt:lpstr>Impo 2018</vt:lpstr>
      <vt:lpstr>Impo 2017</vt:lpstr>
      <vt:lpstr>Impo 2016</vt:lpstr>
      <vt:lpstr>Impo 2015</vt:lpstr>
      <vt:lpstr>Impo 2014</vt:lpstr>
      <vt:lpstr>Expo 2018</vt:lpstr>
      <vt:lpstr>Expo 2017</vt:lpstr>
      <vt:lpstr>Expo 2016</vt:lpstr>
      <vt:lpstr>Expo 2015</vt:lpstr>
      <vt:lpstr>Expo 2014</vt:lpstr>
      <vt:lpstr>Resumen Consumo</vt:lpstr>
      <vt:lpstr>Consumo Aparente 2018</vt:lpstr>
      <vt:lpstr>Consumo Aparente 2017</vt:lpstr>
      <vt:lpstr>Consumo Aparente 2016</vt:lpstr>
      <vt:lpstr>Consumo Aparente 2015</vt:lpstr>
      <vt:lpstr>Consumo Aparente 2014</vt:lpstr>
    </vt:vector>
  </TitlesOfParts>
  <Company>ILAFA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csilva</dc:creator>
  <cp:lastModifiedBy>Lucas Ferro</cp:lastModifiedBy>
  <cp:lastPrinted>2018-09-26T20:27:01Z</cp:lastPrinted>
  <dcterms:created xsi:type="dcterms:W3CDTF">2010-01-04T13:25:53Z</dcterms:created>
  <dcterms:modified xsi:type="dcterms:W3CDTF">2019-01-30T12:21:47Z</dcterms:modified>
</cp:coreProperties>
</file>